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-ПК-МБОУ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0" i="1" l="1"/>
  <c r="I190" i="1"/>
  <c r="J190" i="1" s="1"/>
  <c r="H190" i="1"/>
  <c r="G190" i="1"/>
  <c r="L189" i="1"/>
  <c r="J189" i="1"/>
  <c r="I189" i="1"/>
  <c r="H189" i="1"/>
  <c r="G189" i="1"/>
  <c r="L188" i="1"/>
  <c r="I184" i="1"/>
  <c r="H184" i="1"/>
  <c r="J184" i="1" s="1"/>
  <c r="G184" i="1"/>
  <c r="J188" i="1"/>
  <c r="I187" i="1"/>
  <c r="H187" i="1"/>
  <c r="G187" i="1"/>
  <c r="J187" i="1" s="1"/>
  <c r="I185" i="1"/>
  <c r="H185" i="1"/>
  <c r="G185" i="1"/>
  <c r="J185" i="1" s="1"/>
  <c r="J179" i="1"/>
  <c r="J178" i="1"/>
  <c r="J176" i="1"/>
  <c r="I176" i="1"/>
  <c r="H176" i="1"/>
  <c r="G176" i="1"/>
  <c r="L180" i="1"/>
  <c r="J180" i="1"/>
  <c r="J169" i="1"/>
  <c r="I168" i="1"/>
  <c r="H168" i="1"/>
  <c r="G168" i="1"/>
  <c r="J168" i="1" s="1"/>
  <c r="I167" i="1"/>
  <c r="H167" i="1"/>
  <c r="G167" i="1"/>
  <c r="J167" i="1" s="1"/>
  <c r="J166" i="1"/>
  <c r="I165" i="1"/>
  <c r="H165" i="1"/>
  <c r="G165" i="1"/>
  <c r="J165" i="1" s="1"/>
  <c r="L171" i="1"/>
  <c r="L170" i="1"/>
  <c r="L161" i="1"/>
  <c r="J161" i="1"/>
  <c r="L160" i="1"/>
  <c r="I160" i="1"/>
  <c r="H160" i="1"/>
  <c r="G160" i="1"/>
  <c r="J160" i="1" s="1"/>
  <c r="L151" i="1" l="1"/>
  <c r="L152" i="1"/>
  <c r="L139" i="1" l="1"/>
  <c r="L141" i="1"/>
  <c r="I141" i="1"/>
  <c r="H141" i="1"/>
  <c r="G141" i="1"/>
  <c r="J141" i="1" s="1"/>
  <c r="J142" i="1"/>
  <c r="J131" i="1" l="1"/>
  <c r="L129" i="1"/>
  <c r="L133" i="1"/>
  <c r="I133" i="1"/>
  <c r="H133" i="1"/>
  <c r="G133" i="1"/>
  <c r="J133" i="1" s="1"/>
  <c r="L132" i="1"/>
  <c r="I132" i="1"/>
  <c r="H132" i="1"/>
  <c r="G132" i="1"/>
  <c r="J132" i="1" s="1"/>
  <c r="I127" i="1"/>
  <c r="H127" i="1"/>
  <c r="G127" i="1"/>
  <c r="L120" i="1"/>
  <c r="J121" i="1"/>
  <c r="L122" i="1"/>
  <c r="I122" i="1"/>
  <c r="H122" i="1"/>
  <c r="G122" i="1"/>
  <c r="J122" i="1" s="1"/>
  <c r="J123" i="1"/>
  <c r="J127" i="1" l="1"/>
  <c r="I108" i="1"/>
  <c r="H108" i="1"/>
  <c r="J108" i="1" s="1"/>
  <c r="G108" i="1"/>
  <c r="I109" i="1"/>
  <c r="H109" i="1"/>
  <c r="G109" i="1"/>
  <c r="J109" i="1" s="1"/>
  <c r="L114" i="1"/>
  <c r="J114" i="1"/>
  <c r="I114" i="1"/>
  <c r="H114" i="1"/>
  <c r="G114" i="1"/>
  <c r="L113" i="1"/>
  <c r="I113" i="1"/>
  <c r="H113" i="1"/>
  <c r="G113" i="1"/>
  <c r="J113" i="1" s="1"/>
  <c r="J112" i="1"/>
  <c r="I111" i="1"/>
  <c r="H111" i="1"/>
  <c r="J111" i="1" s="1"/>
  <c r="G111" i="1"/>
  <c r="I110" i="1"/>
  <c r="H110" i="1"/>
  <c r="J110" i="1" s="1"/>
  <c r="G110" i="1"/>
  <c r="H107" i="1"/>
  <c r="F107" i="1"/>
  <c r="J104" i="1"/>
  <c r="L103" i="1"/>
  <c r="J102" i="1"/>
  <c r="L101" i="1"/>
  <c r="L107" i="1" s="1"/>
  <c r="I101" i="1"/>
  <c r="I107" i="1" s="1"/>
  <c r="H101" i="1"/>
  <c r="G101" i="1"/>
  <c r="J101" i="1" s="1"/>
  <c r="J107" i="1" s="1"/>
  <c r="G107" i="1" l="1"/>
  <c r="L91" i="1"/>
  <c r="L82" i="1" l="1"/>
  <c r="J82" i="1"/>
  <c r="I82" i="1"/>
  <c r="H82" i="1"/>
  <c r="G82" i="1"/>
  <c r="J83" i="1"/>
  <c r="L84" i="1"/>
  <c r="L95" i="1" l="1"/>
  <c r="L94" i="1"/>
  <c r="J85" i="1"/>
  <c r="L10" i="1" l="1"/>
  <c r="I65" i="1"/>
  <c r="H65" i="1"/>
  <c r="G65" i="1"/>
  <c r="J65" i="1" s="1"/>
  <c r="J64" i="1"/>
  <c r="J63" i="1"/>
  <c r="I63" i="1"/>
  <c r="H63" i="1"/>
  <c r="G63" i="1"/>
  <c r="J62" i="1"/>
  <c r="I62" i="1"/>
  <c r="H62" i="1"/>
  <c r="G62" i="1"/>
  <c r="L73" i="1" l="1"/>
  <c r="L63" i="1"/>
  <c r="L19" i="1"/>
  <c r="I19" i="1"/>
  <c r="H19" i="1"/>
  <c r="G19" i="1"/>
  <c r="J19" i="1" s="1"/>
  <c r="L18" i="1"/>
  <c r="I18" i="1"/>
  <c r="H18" i="1"/>
  <c r="G18" i="1"/>
  <c r="J18" i="1" s="1"/>
  <c r="L38" i="1"/>
  <c r="I38" i="1"/>
  <c r="H38" i="1"/>
  <c r="G38" i="1"/>
  <c r="J38" i="1" s="1"/>
  <c r="L37" i="1"/>
  <c r="I37" i="1"/>
  <c r="H37" i="1"/>
  <c r="G37" i="1"/>
  <c r="J37" i="1" s="1"/>
  <c r="L57" i="1"/>
  <c r="I57" i="1"/>
  <c r="J57" i="1" s="1"/>
  <c r="H57" i="1"/>
  <c r="G57" i="1"/>
  <c r="L56" i="1"/>
  <c r="J56" i="1"/>
  <c r="I56" i="1"/>
  <c r="H56" i="1"/>
  <c r="G56" i="1"/>
  <c r="L76" i="1"/>
  <c r="I76" i="1"/>
  <c r="H76" i="1"/>
  <c r="G76" i="1"/>
  <c r="J76" i="1" s="1"/>
  <c r="L75" i="1"/>
  <c r="I75" i="1"/>
  <c r="H75" i="1"/>
  <c r="G75" i="1"/>
  <c r="J75" i="1" s="1"/>
  <c r="J66" i="1"/>
  <c r="L55" i="1" l="1"/>
  <c r="L54" i="1"/>
  <c r="I46" i="1"/>
  <c r="H46" i="1"/>
  <c r="J46" i="1" s="1"/>
  <c r="G46" i="1"/>
  <c r="I44" i="1"/>
  <c r="H44" i="1"/>
  <c r="J44" i="1" s="1"/>
  <c r="G44" i="1"/>
  <c r="I43" i="1"/>
  <c r="H43" i="1"/>
  <c r="J43" i="1" s="1"/>
  <c r="G43" i="1"/>
  <c r="J45" i="1"/>
  <c r="J47" i="1"/>
  <c r="J36" i="1" l="1"/>
  <c r="I34" i="1"/>
  <c r="H34" i="1"/>
  <c r="G34" i="1"/>
  <c r="I32" i="1"/>
  <c r="H32" i="1"/>
  <c r="G32" i="1"/>
  <c r="L34" i="1" l="1"/>
  <c r="L25" i="1"/>
  <c r="J26" i="1" l="1"/>
  <c r="I24" i="1"/>
  <c r="H24" i="1"/>
  <c r="J24" i="1" s="1"/>
  <c r="G24" i="1"/>
  <c r="J25" i="1"/>
  <c r="J34" i="1"/>
  <c r="J33" i="1"/>
  <c r="J32" i="1"/>
  <c r="L27" i="1"/>
  <c r="J27" i="1"/>
  <c r="I27" i="1"/>
  <c r="H27" i="1"/>
  <c r="G27" i="1"/>
  <c r="J28" i="1"/>
  <c r="L8" i="1" l="1"/>
  <c r="I10" i="1" l="1"/>
  <c r="H10" i="1"/>
  <c r="G10" i="1"/>
  <c r="J10" i="1" l="1"/>
  <c r="J17" i="1" l="1"/>
  <c r="I16" i="1"/>
  <c r="H16" i="1"/>
  <c r="G16" i="1"/>
  <c r="I15" i="1"/>
  <c r="H15" i="1"/>
  <c r="G15" i="1"/>
  <c r="J14" i="1"/>
  <c r="J13" i="1"/>
  <c r="I13" i="1"/>
  <c r="H13" i="1"/>
  <c r="G13" i="1"/>
  <c r="I8" i="1"/>
  <c r="H8" i="1"/>
  <c r="G8" i="1"/>
  <c r="I7" i="1"/>
  <c r="H7" i="1"/>
  <c r="G7" i="1"/>
  <c r="I6" i="1"/>
  <c r="H6" i="1"/>
  <c r="J6" i="1" s="1"/>
  <c r="G6" i="1"/>
  <c r="J9" i="1"/>
  <c r="J15" i="1" l="1"/>
  <c r="J22" i="1" s="1"/>
  <c r="J7" i="1"/>
  <c r="J16" i="1"/>
  <c r="J8" i="1"/>
  <c r="L193" i="1"/>
  <c r="L183" i="1"/>
  <c r="L174" i="1"/>
  <c r="L164" i="1"/>
  <c r="L155" i="1"/>
  <c r="L145" i="1"/>
  <c r="L136" i="1"/>
  <c r="L126" i="1"/>
  <c r="L117" i="1"/>
  <c r="L118" i="1" s="1"/>
  <c r="L98" i="1"/>
  <c r="L88" i="1"/>
  <c r="L79" i="1"/>
  <c r="L69" i="1"/>
  <c r="L60" i="1"/>
  <c r="L50" i="1"/>
  <c r="L41" i="1"/>
  <c r="L31" i="1"/>
  <c r="L22" i="1"/>
  <c r="L12" i="1"/>
  <c r="A108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I156" i="1" s="1"/>
  <c r="H145" i="1"/>
  <c r="G145" i="1"/>
  <c r="F145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8" i="1"/>
  <c r="A118" i="1"/>
  <c r="J117" i="1"/>
  <c r="I117" i="1"/>
  <c r="I118" i="1" s="1"/>
  <c r="H117" i="1"/>
  <c r="G117" i="1"/>
  <c r="F117" i="1"/>
  <c r="B108" i="1"/>
  <c r="H11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B13" i="1"/>
  <c r="A13" i="1"/>
  <c r="G22" i="1"/>
  <c r="H22" i="1"/>
  <c r="I22" i="1"/>
  <c r="F22" i="1"/>
  <c r="G12" i="1"/>
  <c r="H12" i="1"/>
  <c r="I12" i="1"/>
  <c r="J12" i="1"/>
  <c r="F12" i="1"/>
  <c r="H194" i="1" l="1"/>
  <c r="L194" i="1"/>
  <c r="I194" i="1"/>
  <c r="J194" i="1"/>
  <c r="L175" i="1"/>
  <c r="J175" i="1"/>
  <c r="H175" i="1"/>
  <c r="G175" i="1"/>
  <c r="J156" i="1"/>
  <c r="L156" i="1"/>
  <c r="H156" i="1"/>
  <c r="L137" i="1"/>
  <c r="H137" i="1"/>
  <c r="J137" i="1"/>
  <c r="G137" i="1"/>
  <c r="F99" i="1"/>
  <c r="L99" i="1"/>
  <c r="J99" i="1"/>
  <c r="I99" i="1"/>
  <c r="G99" i="1"/>
  <c r="L61" i="1"/>
  <c r="L80" i="1"/>
  <c r="F80" i="1"/>
  <c r="F61" i="1"/>
  <c r="J61" i="1"/>
  <c r="I61" i="1"/>
  <c r="I42" i="1"/>
  <c r="G42" i="1"/>
  <c r="H42" i="1"/>
  <c r="L42" i="1"/>
  <c r="G61" i="1"/>
  <c r="I80" i="1"/>
  <c r="F42" i="1"/>
  <c r="J42" i="1"/>
  <c r="H61" i="1"/>
  <c r="J80" i="1"/>
  <c r="G80" i="1"/>
  <c r="H99" i="1"/>
  <c r="J118" i="1"/>
  <c r="I137" i="1"/>
  <c r="G156" i="1"/>
  <c r="I175" i="1"/>
  <c r="G194" i="1"/>
  <c r="H80" i="1"/>
  <c r="G118" i="1"/>
  <c r="L23" i="1"/>
  <c r="F118" i="1"/>
  <c r="F137" i="1"/>
  <c r="F156" i="1"/>
  <c r="F175" i="1"/>
  <c r="F194" i="1"/>
  <c r="I23" i="1"/>
  <c r="F23" i="1"/>
  <c r="J23" i="1"/>
  <c r="H23" i="1"/>
  <c r="G23" i="1"/>
  <c r="I195" i="1" l="1"/>
  <c r="F195" i="1"/>
  <c r="L195" i="1"/>
  <c r="J195" i="1"/>
  <c r="H195" i="1"/>
  <c r="G195" i="1"/>
</calcChain>
</file>

<file path=xl/sharedStrings.xml><?xml version="1.0" encoding="utf-8"?>
<sst xmlns="http://schemas.openxmlformats.org/spreadsheetml/2006/main" count="353" uniqueCount="104">
  <si>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</si>
  <si>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</si>
  <si>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</si>
  <si>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</si>
  <si>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</si>
  <si>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</si>
  <si>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</si>
  <si>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</si>
  <si>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</si>
  <si>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</si>
  <si>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</si>
  <si>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</si>
  <si>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</si>
  <si>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</si>
  <si>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</si>
  <si>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</si>
  <si>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</si>
  <si>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</si>
  <si>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</si>
  <si>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</si>
  <si>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</si>
  <si>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</si>
  <si>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</si>
  <si>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</si>
  <si>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</si>
  <si>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</si>
  <si>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</si>
  <si>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</si>
  <si>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</si>
  <si>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</si>
  <si>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</si>
  <si>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</si>
  <si>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</si>
  <si>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</si>
  <si>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</si>
  <si>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</si>
  <si>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</si>
  <si>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</si>
  <si>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</si>
  <si>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порционно / Яблоко 1шт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</si>
  <si>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</si>
  <si>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</si>
  <si>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</si>
  <si>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Хлеб пшеничный</t>
  </si>
  <si>
    <t>ПР</t>
  </si>
  <si>
    <t>Салат из белокачанной капусты с морковью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</si>
  <si>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</si>
  <si>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</si>
  <si>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</si>
  <si>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</si>
  <si>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200//4</t>
  </si>
  <si>
    <t xml:space="preserve">Суп картофельный с горохом </t>
  </si>
  <si>
    <t>250</t>
  </si>
  <si>
    <t xml:space="preserve">Пудинг творожно-пшенный с сахарной пудрой   </t>
  </si>
  <si>
    <t xml:space="preserve">Джем фруктовый </t>
  </si>
  <si>
    <t>Чай с сахаром</t>
  </si>
  <si>
    <t xml:space="preserve">Салат из  свежих помидоров и огурцов с растительным маслом </t>
  </si>
  <si>
    <t>Плов  с  птицей</t>
  </si>
  <si>
    <t xml:space="preserve">Компот из свежих яблок и лимона </t>
  </si>
  <si>
    <t>250/15</t>
  </si>
  <si>
    <t>Борщ со свежей капустой и картофелем с мясом птицы</t>
  </si>
  <si>
    <t>пр</t>
  </si>
  <si>
    <t>Крокеты "Детские"  запеченые (в соответствии с ГОСТ Р 55366-2012)</t>
  </si>
  <si>
    <t>Бифштекс рубленый "Детский" (в соответствии с ГОСТ Р 55366-2012)</t>
  </si>
  <si>
    <t xml:space="preserve">Картофельное пюре с маслом сливочным </t>
  </si>
  <si>
    <t>Сок фруктовый**</t>
  </si>
  <si>
    <t xml:space="preserve">Салат из свежей капусты </t>
  </si>
  <si>
    <t xml:space="preserve">Рассольник "Ленинградский" </t>
  </si>
  <si>
    <t>МБОУ СОШ с Ольшанка</t>
  </si>
  <si>
    <t>директор школы</t>
  </si>
  <si>
    <t>Пономарева Е.В.</t>
  </si>
  <si>
    <t>Котлета "Говяжья Школьная" запеченная (в соответствии с ГОСТ Р 55366-2012)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</si>
  <si>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</si>
  <si>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</si>
  <si>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</si>
  <si>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</si>
  <si>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</si>
  <si>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 xml:space="preserve">Компот </t>
  </si>
  <si>
    <t>Омлет натуральный с маслом сливочным  с консервированной кукурузой</t>
  </si>
  <si>
    <t>Капуста тушеная</t>
  </si>
  <si>
    <t>Напиток фруктовый</t>
  </si>
  <si>
    <t>Суп картофельный с рыбными консервами</t>
  </si>
  <si>
    <t>Котлета "Куриная" (из мяса грудки филерованной)</t>
  </si>
  <si>
    <t>210/30</t>
  </si>
  <si>
    <t>Борщ "Сибирский" с фасолью</t>
  </si>
  <si>
    <t>компот</t>
  </si>
  <si>
    <t>Каша "Дружба" с маслом сливочным</t>
  </si>
  <si>
    <t xml:space="preserve">Фрикадельки "Детские" запеченные </t>
  </si>
  <si>
    <t xml:space="preserve">Птица, порционная  запеченая </t>
  </si>
  <si>
    <t xml:space="preserve">Салат из  свежих помидоров </t>
  </si>
  <si>
    <t>Суп картофельный с клецками</t>
  </si>
  <si>
    <t xml:space="preserve">Жаркое по- домашнему </t>
  </si>
  <si>
    <t>Запеканка творожно-рисовая с маслом сливочным</t>
  </si>
  <si>
    <t xml:space="preserve">Молоко сгущенное порционно </t>
  </si>
  <si>
    <t>Тефтели "Детские" под овощным соусом (в соответствии с ГОСТ Р 55366-2012)</t>
  </si>
  <si>
    <t>Салат из свеклы с сыром и маслом растительным</t>
  </si>
  <si>
    <t>Компот из быстрозамороженных ягод  (компотная смесь)</t>
  </si>
  <si>
    <t>котлета рыбная</t>
  </si>
  <si>
    <t xml:space="preserve">Щи из свежей капусты </t>
  </si>
  <si>
    <t xml:space="preserve">Каша гречневая молочная с маслом сливочным </t>
  </si>
  <si>
    <t>десерт</t>
  </si>
  <si>
    <t>йогурт</t>
  </si>
  <si>
    <t>Каша гречневая  рассыпчатая с маслом</t>
  </si>
  <si>
    <t xml:space="preserve">Суп картофельный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</si>
</sst>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 vertical="top"/>
      <protection locked="0"/>
    </xf>
    <xf numFmtId="1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3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top"/>
      <protection locked="0"/>
    </xf>
    <xf numFmtId="165" fontId="11" fillId="4" borderId="2" xfId="0" applyNumberFormat="1" applyFont="1" applyFill="1" applyBorder="1" applyAlignment="1" applyProtection="1">
      <alignment horizontal="center" vertical="top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0" applyNumberFormat="1" applyFont="1" applyFill="1" applyBorder="1" applyAlignment="1">
      <alignment horizontal="center" vertical="top" wrapText="1"/>
    </xf>
    <xf numFmtId="1" fontId="11" fillId="4" borderId="2" xfId="0" applyNumberFormat="1" applyFont="1" applyFill="1" applyBorder="1" applyAlignment="1">
      <alignment horizontal="center" vertical="top"/>
    </xf>
    <xf numFmtId="1" fontId="11" fillId="4" borderId="2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11" fillId="4" borderId="2" xfId="0" applyNumberFormat="1" applyFont="1" applyFill="1" applyBorder="1" applyAlignment="1">
      <alignment horizontal="center" vertical="top"/>
    </xf>
    <xf numFmtId="164" fontId="11" fillId="4" borderId="2" xfId="0" applyNumberFormat="1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2" fontId="11" fillId="4" borderId="23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11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ColWidth="9.109375" defaultRowHeight="13.2" x14ac:dyDescent="0.25"/>
  <cols>
    <col min="1" max="1" width="4.6640625" style="53" customWidth="1"/>
    <col min="2" max="2" width="5.33203125" style="53" customWidth="1"/>
    <col min="3" max="3" width="9.109375" style="53"/>
    <col min="4" max="4" width="12" style="53" bestFit="1" customWidth="1"/>
    <col min="5" max="5" width="51.6640625" style="53" bestFit="1" customWidth="1"/>
    <col min="6" max="6" width="9.33203125" style="53" customWidth="1"/>
    <col min="7" max="7" width="10" style="53" customWidth="1"/>
    <col min="8" max="8" width="7.5546875" style="53" customWidth="1"/>
    <col min="9" max="9" width="6.88671875" style="53" customWidth="1"/>
    <col min="10" max="10" width="8.109375" style="53" customWidth="1"/>
    <col min="11" max="11" width="10" style="53" customWidth="1"/>
    <col min="12" max="12" width="11.5546875" style="53" bestFit="1" customWidth="1"/>
    <col min="13" max="16384" width="9.109375" style="53"/>
  </cols>
  <sheetData>
    <row r="1" spans="1:12" ht="14.4" x14ac:dyDescent="0.3">
      <c r="A1" s="53" t="s">
        <v>7</v>
      </c>
      <c r="C1" s="82" t="s">
        <v>68</v>
      </c>
      <c r="D1" s="83"/>
      <c r="E1" s="83"/>
      <c r="F1" s="53" t="s">
        <v>16</v>
      </c>
      <c r="G1" s="53" t="s">
        <v>17</v>
      </c>
      <c r="H1" s="82" t="s">
        <v>69</v>
      </c>
      <c r="I1" s="82"/>
      <c r="J1" s="82"/>
      <c r="K1" s="82"/>
    </row>
    <row r="2" spans="1:12" ht="17.399999999999999" x14ac:dyDescent="0.25">
      <c r="A2" s="81" t="s">
        <v>6</v>
      </c>
      <c r="B2" s="81"/>
      <c r="C2" s="81"/>
      <c r="D2" s="81"/>
      <c r="E2" s="81"/>
      <c r="F2" s="81"/>
      <c r="G2" s="53" t="s">
        <v>18</v>
      </c>
      <c r="H2" s="82" t="s">
        <v>70</v>
      </c>
      <c r="I2" s="82"/>
      <c r="J2" s="82"/>
      <c r="K2" s="82"/>
    </row>
    <row r="3" spans="1:12" ht="17.25" customHeight="1" x14ac:dyDescent="0.25">
      <c r="A3" s="54" t="s">
        <v>8</v>
      </c>
      <c r="D3" s="55"/>
      <c r="E3" s="56" t="s">
        <v>9</v>
      </c>
      <c r="G3" s="53" t="s">
        <v>19</v>
      </c>
      <c r="H3" s="27">
        <v>20</v>
      </c>
      <c r="I3" s="27">
        <v>1</v>
      </c>
      <c r="J3" s="28">
        <v>2025</v>
      </c>
      <c r="K3" s="57"/>
    </row>
    <row r="4" spans="1:12" ht="13.8" thickBot="1" x14ac:dyDescent="0.3">
      <c r="D4" s="54"/>
      <c r="H4" s="26" t="s">
        <v>36</v>
      </c>
      <c r="I4" s="26" t="s">
        <v>37</v>
      </c>
      <c r="J4" s="26" t="s">
        <v>38</v>
      </c>
    </row>
    <row r="5" spans="1:12" ht="31.2" thickBot="1" x14ac:dyDescent="0.3">
      <c r="A5" s="24" t="s">
        <v>14</v>
      </c>
      <c r="B5" s="25" t="s">
        <v>15</v>
      </c>
      <c r="C5" s="18" t="s">
        <v>0</v>
      </c>
      <c r="D5" s="18" t="s">
        <v>13</v>
      </c>
      <c r="E5" s="18" t="s">
        <v>12</v>
      </c>
      <c r="F5" s="18" t="s">
        <v>34</v>
      </c>
      <c r="G5" s="18" t="s">
        <v>1</v>
      </c>
      <c r="H5" s="18" t="s">
        <v>2</v>
      </c>
      <c r="I5" s="18" t="s">
        <v>3</v>
      </c>
      <c r="J5" s="18" t="s">
        <v>10</v>
      </c>
      <c r="K5" s="19" t="s">
        <v>11</v>
      </c>
      <c r="L5" s="18" t="s">
        <v>35</v>
      </c>
    </row>
    <row r="6" spans="1:12" ht="14.4" x14ac:dyDescent="0.3">
      <c r="A6" s="7">
        <v>1</v>
      </c>
      <c r="B6" s="8">
        <v>1</v>
      </c>
      <c r="C6" s="58" t="s">
        <v>20</v>
      </c>
      <c r="D6" s="59" t="s">
        <v>21</v>
      </c>
      <c r="E6" s="60" t="s">
        <v>41</v>
      </c>
      <c r="F6" s="30">
        <v>250</v>
      </c>
      <c r="G6" s="29">
        <f>7.23*F6/200</f>
        <v>9.0374999999999996</v>
      </c>
      <c r="H6" s="29">
        <f>9.81*F6/200</f>
        <v>12.262499999999999</v>
      </c>
      <c r="I6" s="29">
        <f>28.8*F6/200</f>
        <v>36</v>
      </c>
      <c r="J6" s="29">
        <f>G6*4+H6*9+I6*4</f>
        <v>290.51249999999999</v>
      </c>
      <c r="K6" s="32">
        <v>338</v>
      </c>
      <c r="L6" s="20">
        <v>11.97</v>
      </c>
    </row>
    <row r="7" spans="1:12" ht="14.4" x14ac:dyDescent="0.3">
      <c r="A7" s="9"/>
      <c r="B7" s="3"/>
      <c r="C7" s="61"/>
      <c r="D7" s="62" t="s">
        <v>22</v>
      </c>
      <c r="E7" s="60" t="s">
        <v>42</v>
      </c>
      <c r="F7" s="30">
        <v>200</v>
      </c>
      <c r="G7" s="29">
        <f>3.5*F7/200</f>
        <v>3.5</v>
      </c>
      <c r="H7" s="29">
        <f>3.7*F7/200</f>
        <v>3.7</v>
      </c>
      <c r="I7" s="29">
        <f>25.5*F7/200</f>
        <v>25.5</v>
      </c>
      <c r="J7" s="29">
        <f>G7*4+H7*9+I7*4</f>
        <v>149.30000000000001</v>
      </c>
      <c r="K7" s="33">
        <v>173</v>
      </c>
      <c r="L7" s="22">
        <v>17</v>
      </c>
    </row>
    <row r="8" spans="1:12" ht="14.4" x14ac:dyDescent="0.3">
      <c r="A8" s="9"/>
      <c r="B8" s="3"/>
      <c r="C8" s="61"/>
      <c r="D8" s="62" t="s">
        <v>23</v>
      </c>
      <c r="E8" s="60" t="s">
        <v>43</v>
      </c>
      <c r="F8" s="30">
        <v>40</v>
      </c>
      <c r="G8" s="29">
        <f>1.52*F8/30</f>
        <v>2.0266666666666664</v>
      </c>
      <c r="H8" s="31">
        <f>0.16*F8/30</f>
        <v>0.21333333333333335</v>
      </c>
      <c r="I8" s="31">
        <f>9.84*F8/30</f>
        <v>13.120000000000001</v>
      </c>
      <c r="J8" s="31">
        <f>G8*4+H8*9+I8*4</f>
        <v>62.506666666666668</v>
      </c>
      <c r="K8" s="33">
        <v>382</v>
      </c>
      <c r="L8" s="22">
        <f>0.04*56</f>
        <v>2.2400000000000002</v>
      </c>
    </row>
    <row r="9" spans="1:12" ht="14.4" x14ac:dyDescent="0.3">
      <c r="A9" s="9"/>
      <c r="B9" s="3"/>
      <c r="C9" s="61"/>
      <c r="D9" s="62" t="s">
        <v>24</v>
      </c>
      <c r="E9" s="63" t="s">
        <v>39</v>
      </c>
      <c r="F9" s="22">
        <v>150</v>
      </c>
      <c r="G9" s="29">
        <v>0.4</v>
      </c>
      <c r="H9" s="29">
        <v>0.4</v>
      </c>
      <c r="I9" s="29">
        <v>9.8000000000000007</v>
      </c>
      <c r="J9" s="29">
        <f>G9*4+H9*9+I9*4</f>
        <v>44.400000000000006</v>
      </c>
      <c r="K9" s="34">
        <v>338</v>
      </c>
      <c r="L9" s="22">
        <v>8</v>
      </c>
    </row>
    <row r="10" spans="1:12" ht="14.4" x14ac:dyDescent="0.3">
      <c r="A10" s="9"/>
      <c r="B10" s="3"/>
      <c r="C10" s="61"/>
      <c r="D10" s="64" t="s">
        <v>26</v>
      </c>
      <c r="E10" s="60" t="s">
        <v>40</v>
      </c>
      <c r="F10" s="30">
        <v>60</v>
      </c>
      <c r="G10" s="29">
        <f>2.32*F10/10</f>
        <v>13.919999999999998</v>
      </c>
      <c r="H10" s="29">
        <f>3.4*F10/10</f>
        <v>20.399999999999999</v>
      </c>
      <c r="I10" s="29">
        <f>0.01*F10/10</f>
        <v>0.06</v>
      </c>
      <c r="J10" s="29">
        <f>G10*4+H10*9+I10*4</f>
        <v>239.51999999999998</v>
      </c>
      <c r="K10" s="32">
        <v>15</v>
      </c>
      <c r="L10" s="22">
        <f>590*0.03</f>
        <v>17.7</v>
      </c>
    </row>
    <row r="11" spans="1:12" ht="14.4" x14ac:dyDescent="0.3">
      <c r="A11" s="9"/>
      <c r="B11" s="3"/>
      <c r="C11" s="61"/>
      <c r="D11" s="65"/>
      <c r="E11" s="22"/>
      <c r="F11" s="22"/>
      <c r="G11" s="22"/>
      <c r="H11" s="22"/>
      <c r="I11" s="22"/>
      <c r="J11" s="22"/>
      <c r="K11" s="23"/>
      <c r="L11" s="22"/>
    </row>
    <row r="12" spans="1:12" ht="14.4" x14ac:dyDescent="0.3">
      <c r="A12" s="10"/>
      <c r="B12" s="5"/>
      <c r="C12" s="66"/>
      <c r="D12" s="67" t="s">
        <v>33</v>
      </c>
      <c r="E12" s="6"/>
      <c r="F12" s="6">
        <f>SUM(F6:F11)</f>
        <v>700</v>
      </c>
      <c r="G12" s="6">
        <f>SUM(G6:G11)</f>
        <v>28.884166666666665</v>
      </c>
      <c r="H12" s="6">
        <f>SUM(H6:H11)</f>
        <v>36.975833333333327</v>
      </c>
      <c r="I12" s="6">
        <f>SUM(I6:I11)</f>
        <v>84.48</v>
      </c>
      <c r="J12" s="6">
        <f>SUM(J6:J11)</f>
        <v>786.23916666666662</v>
      </c>
      <c r="K12" s="11"/>
      <c r="L12" s="6">
        <f>SUM(L6:L11)</f>
        <v>56.91</v>
      </c>
    </row>
    <row r="13" spans="1:12" ht="14.4" x14ac:dyDescent="0.3">
      <c r="A13" s="12">
        <f>A6</f>
        <v>1</v>
      </c>
      <c r="B13" s="1">
        <f>B6</f>
        <v>1</v>
      </c>
      <c r="C13" s="68" t="s">
        <v>25</v>
      </c>
      <c r="D13" s="62" t="s">
        <v>26</v>
      </c>
      <c r="E13" s="63" t="s">
        <v>45</v>
      </c>
      <c r="F13" s="30">
        <v>100</v>
      </c>
      <c r="G13" s="29">
        <f>0.9*F13/60</f>
        <v>1.5</v>
      </c>
      <c r="H13" s="29">
        <f>1.31*F13/60</f>
        <v>2.1833333333333331</v>
      </c>
      <c r="I13" s="29">
        <f>5.6*F13/60</f>
        <v>9.3333333333333339</v>
      </c>
      <c r="J13" s="29">
        <f t="shared" ref="J13:J17" si="0">G13*4+H13*9+I13*4</f>
        <v>62.983333333333334</v>
      </c>
      <c r="K13" s="33">
        <v>45</v>
      </c>
      <c r="L13" s="22">
        <v>3.15</v>
      </c>
    </row>
    <row r="14" spans="1:12" ht="14.4" x14ac:dyDescent="0.3">
      <c r="A14" s="9"/>
      <c r="B14" s="3"/>
      <c r="C14" s="61"/>
      <c r="D14" s="62" t="s">
        <v>27</v>
      </c>
      <c r="E14" s="60" t="s">
        <v>51</v>
      </c>
      <c r="F14" s="35" t="s">
        <v>52</v>
      </c>
      <c r="G14" s="29">
        <v>6.22</v>
      </c>
      <c r="H14" s="29">
        <v>3.99</v>
      </c>
      <c r="I14" s="29">
        <v>21.73</v>
      </c>
      <c r="J14" s="29">
        <f t="shared" si="0"/>
        <v>147.71</v>
      </c>
      <c r="K14" s="33">
        <v>102</v>
      </c>
      <c r="L14" s="22">
        <v>7</v>
      </c>
    </row>
    <row r="15" spans="1:12" ht="20.399999999999999" x14ac:dyDescent="0.3">
      <c r="A15" s="9"/>
      <c r="B15" s="3"/>
      <c r="C15" s="61"/>
      <c r="D15" s="62" t="s">
        <v>28</v>
      </c>
      <c r="E15" s="60" t="s">
        <v>46</v>
      </c>
      <c r="F15" s="30">
        <v>100</v>
      </c>
      <c r="G15" s="29">
        <f>13.46*F15/80</f>
        <v>16.824999999999999</v>
      </c>
      <c r="H15" s="36">
        <f>10.86*F15/80</f>
        <v>13.574999999999999</v>
      </c>
      <c r="I15" s="36">
        <f>5.34*F15/80</f>
        <v>6.6749999999999998</v>
      </c>
      <c r="J15" s="29">
        <f>G15*4+H15*9+I15*4</f>
        <v>216.17499999999998</v>
      </c>
      <c r="K15" s="33">
        <v>268</v>
      </c>
      <c r="L15" s="22">
        <v>45.89</v>
      </c>
    </row>
    <row r="16" spans="1:12" ht="14.4" x14ac:dyDescent="0.3">
      <c r="A16" s="9"/>
      <c r="B16" s="3"/>
      <c r="C16" s="61"/>
      <c r="D16" s="62" t="s">
        <v>29</v>
      </c>
      <c r="E16" s="60" t="s">
        <v>47</v>
      </c>
      <c r="F16" s="30">
        <v>180</v>
      </c>
      <c r="G16" s="29">
        <f>5.7*F16/150</f>
        <v>6.84</v>
      </c>
      <c r="H16" s="29">
        <f>3.43*F16/150</f>
        <v>4.1159999999999997</v>
      </c>
      <c r="I16" s="29">
        <f>36.45*F16/150</f>
        <v>43.740000000000009</v>
      </c>
      <c r="J16" s="29">
        <f t="shared" si="0"/>
        <v>239.36400000000003</v>
      </c>
      <c r="K16" s="33">
        <v>203</v>
      </c>
      <c r="L16" s="22">
        <v>4.41</v>
      </c>
    </row>
    <row r="17" spans="1:12" ht="14.4" x14ac:dyDescent="0.3">
      <c r="A17" s="9"/>
      <c r="B17" s="3"/>
      <c r="C17" s="61"/>
      <c r="D17" s="62" t="s">
        <v>30</v>
      </c>
      <c r="E17" s="63" t="s">
        <v>48</v>
      </c>
      <c r="F17" s="30" t="s">
        <v>50</v>
      </c>
      <c r="G17" s="29">
        <v>0.26</v>
      </c>
      <c r="H17" s="29">
        <v>0.06</v>
      </c>
      <c r="I17" s="29">
        <v>15.22</v>
      </c>
      <c r="J17" s="29">
        <f t="shared" si="0"/>
        <v>62.46</v>
      </c>
      <c r="K17" s="33">
        <v>377</v>
      </c>
      <c r="L17" s="22">
        <v>3.12</v>
      </c>
    </row>
    <row r="18" spans="1:12" ht="14.4" x14ac:dyDescent="0.3">
      <c r="A18" s="9"/>
      <c r="B18" s="3"/>
      <c r="C18" s="61"/>
      <c r="D18" s="62" t="s">
        <v>31</v>
      </c>
      <c r="E18" s="60" t="s">
        <v>43</v>
      </c>
      <c r="F18" s="30">
        <v>40</v>
      </c>
      <c r="G18" s="29">
        <f>1.52*F18/30</f>
        <v>2.0266666666666664</v>
      </c>
      <c r="H18" s="31">
        <f>0.16*F18/30</f>
        <v>0.21333333333333335</v>
      </c>
      <c r="I18" s="31">
        <f>9.84*F18/30</f>
        <v>13.120000000000001</v>
      </c>
      <c r="J18" s="31">
        <f>G18*4+H18*9+I18*4</f>
        <v>62.506666666666668</v>
      </c>
      <c r="K18" s="33" t="s">
        <v>61</v>
      </c>
      <c r="L18" s="22">
        <f>0.04*56</f>
        <v>2.2400000000000002</v>
      </c>
    </row>
    <row r="19" spans="1:12" ht="14.4" x14ac:dyDescent="0.3">
      <c r="A19" s="9"/>
      <c r="B19" s="3"/>
      <c r="C19" s="61"/>
      <c r="D19" s="62" t="s">
        <v>32</v>
      </c>
      <c r="E19" s="60" t="s">
        <v>49</v>
      </c>
      <c r="F19" s="30">
        <v>40</v>
      </c>
      <c r="G19" s="29">
        <f>2.64*F19/40</f>
        <v>2.64</v>
      </c>
      <c r="H19" s="29">
        <f>0.48*F19/40</f>
        <v>0.48</v>
      </c>
      <c r="I19" s="29">
        <f>13.68*F19/40</f>
        <v>13.680000000000001</v>
      </c>
      <c r="J19" s="29">
        <f t="shared" ref="J19" si="1">G19*4+H19*9+I19*4</f>
        <v>69.600000000000009</v>
      </c>
      <c r="K19" s="34" t="s">
        <v>44</v>
      </c>
      <c r="L19" s="22">
        <f>0.04*32</f>
        <v>1.28</v>
      </c>
    </row>
    <row r="20" spans="1:12" ht="14.4" x14ac:dyDescent="0.3">
      <c r="A20" s="9"/>
      <c r="B20" s="3"/>
      <c r="C20" s="61"/>
      <c r="D20" s="65"/>
      <c r="E20" s="22"/>
      <c r="F20" s="22"/>
      <c r="G20" s="22"/>
      <c r="H20" s="22"/>
      <c r="I20" s="22"/>
      <c r="J20" s="22"/>
      <c r="K20" s="23"/>
      <c r="L20" s="22"/>
    </row>
    <row r="21" spans="1:12" ht="14.4" x14ac:dyDescent="0.3">
      <c r="A21" s="9"/>
      <c r="B21" s="3"/>
      <c r="C21" s="61"/>
      <c r="D21" s="65"/>
      <c r="E21" s="22"/>
      <c r="F21" s="22"/>
      <c r="G21" s="22"/>
      <c r="H21" s="22"/>
      <c r="I21" s="22"/>
      <c r="J21" s="22"/>
      <c r="K21" s="23"/>
      <c r="L21" s="22"/>
    </row>
    <row r="22" spans="1:12" ht="14.4" x14ac:dyDescent="0.3">
      <c r="A22" s="10"/>
      <c r="B22" s="5"/>
      <c r="C22" s="66"/>
      <c r="D22" s="67" t="s">
        <v>33</v>
      </c>
      <c r="E22" s="6"/>
      <c r="F22" s="6">
        <f>SUM(F13:F21)</f>
        <v>460</v>
      </c>
      <c r="G22" s="6">
        <f t="shared" ref="G22:J22" si="2">SUM(G13:G21)</f>
        <v>36.311666666666667</v>
      </c>
      <c r="H22" s="6">
        <f t="shared" si="2"/>
        <v>24.617666666666668</v>
      </c>
      <c r="I22" s="6">
        <f t="shared" si="2"/>
        <v>123.49833333333335</v>
      </c>
      <c r="J22" s="6">
        <f t="shared" si="2"/>
        <v>860.79900000000009</v>
      </c>
      <c r="K22" s="11"/>
      <c r="L22" s="6">
        <f t="shared" ref="L22" si="3">SUM(L13:L21)</f>
        <v>67.09</v>
      </c>
    </row>
    <row r="23" spans="1:12" ht="15" thickBot="1" x14ac:dyDescent="0.3">
      <c r="A23" s="13">
        <f>A6</f>
        <v>1</v>
      </c>
      <c r="B23" s="14">
        <f>B6</f>
        <v>1</v>
      </c>
      <c r="C23" s="84" t="s">
        <v>4</v>
      </c>
      <c r="D23" s="85"/>
      <c r="E23" s="15"/>
      <c r="F23" s="15">
        <f>F12+F22</f>
        <v>1160</v>
      </c>
      <c r="G23" s="15">
        <f t="shared" ref="G23:J23" si="4">G12+G22</f>
        <v>65.195833333333326</v>
      </c>
      <c r="H23" s="15">
        <f t="shared" si="4"/>
        <v>61.593499999999992</v>
      </c>
      <c r="I23" s="15">
        <f t="shared" si="4"/>
        <v>207.97833333333335</v>
      </c>
      <c r="J23" s="15">
        <f t="shared" si="4"/>
        <v>1647.0381666666667</v>
      </c>
      <c r="K23" s="15"/>
      <c r="L23" s="15">
        <f t="shared" ref="L23" si="5">L12+L22</f>
        <v>124</v>
      </c>
    </row>
    <row r="24" spans="1:12" ht="14.4" x14ac:dyDescent="0.3">
      <c r="A24" s="2">
        <v>1</v>
      </c>
      <c r="B24" s="3">
        <v>2</v>
      </c>
      <c r="C24" s="58" t="s">
        <v>20</v>
      </c>
      <c r="D24" s="59" t="s">
        <v>21</v>
      </c>
      <c r="E24" s="69" t="s">
        <v>53</v>
      </c>
      <c r="F24" s="30">
        <v>200</v>
      </c>
      <c r="G24" s="29">
        <f>14.92*F24/170</f>
        <v>17.55294117647059</v>
      </c>
      <c r="H24" s="29">
        <f>14.38*F24/170</f>
        <v>16.91764705882353</v>
      </c>
      <c r="I24" s="29">
        <f>31.51*F24/170</f>
        <v>37.070588235294117</v>
      </c>
      <c r="J24" s="29">
        <f>G24*4+H24*9+I24*4</f>
        <v>370.75294117647059</v>
      </c>
      <c r="K24" s="33">
        <v>222</v>
      </c>
      <c r="L24" s="20">
        <v>35.93</v>
      </c>
    </row>
    <row r="25" spans="1:12" ht="14.4" x14ac:dyDescent="0.3">
      <c r="A25" s="2"/>
      <c r="B25" s="3"/>
      <c r="C25" s="61"/>
      <c r="D25" s="65"/>
      <c r="E25" s="70" t="s">
        <v>54</v>
      </c>
      <c r="F25" s="30">
        <v>20</v>
      </c>
      <c r="G25" s="29">
        <v>0.1</v>
      </c>
      <c r="H25" s="38">
        <v>0</v>
      </c>
      <c r="I25" s="36">
        <v>14.3</v>
      </c>
      <c r="J25" s="29">
        <f>G25*4+H25*9+I25*4</f>
        <v>57.6</v>
      </c>
      <c r="K25" s="33"/>
      <c r="L25" s="22">
        <f>170*0.02</f>
        <v>3.4</v>
      </c>
    </row>
    <row r="26" spans="1:12" ht="14.4" x14ac:dyDescent="0.3">
      <c r="A26" s="2"/>
      <c r="B26" s="3"/>
      <c r="C26" s="61"/>
      <c r="D26" s="62" t="s">
        <v>22</v>
      </c>
      <c r="E26" s="22" t="s">
        <v>55</v>
      </c>
      <c r="F26" s="30">
        <v>200</v>
      </c>
      <c r="G26" s="29">
        <v>0.2</v>
      </c>
      <c r="H26" s="29">
        <v>0.05</v>
      </c>
      <c r="I26" s="29">
        <v>15.01</v>
      </c>
      <c r="J26" s="29">
        <f>G26*4+H26*9+I26*4</f>
        <v>61.29</v>
      </c>
      <c r="K26" s="33">
        <v>376</v>
      </c>
      <c r="L26" s="22">
        <v>1.7</v>
      </c>
    </row>
    <row r="27" spans="1:12" ht="14.4" x14ac:dyDescent="0.3">
      <c r="A27" s="2"/>
      <c r="B27" s="3"/>
      <c r="C27" s="61"/>
      <c r="D27" s="62" t="s">
        <v>23</v>
      </c>
      <c r="E27" s="60" t="s">
        <v>43</v>
      </c>
      <c r="F27" s="30">
        <v>40</v>
      </c>
      <c r="G27" s="29">
        <f>1.52*F27/30</f>
        <v>2.0266666666666664</v>
      </c>
      <c r="H27" s="31">
        <f>0.16*F27/30</f>
        <v>0.21333333333333335</v>
      </c>
      <c r="I27" s="31">
        <f>9.84*F27/30</f>
        <v>13.120000000000001</v>
      </c>
      <c r="J27" s="31">
        <f>G27*4+H27*9+I27*4</f>
        <v>62.506666666666668</v>
      </c>
      <c r="K27" s="33" t="s">
        <v>61</v>
      </c>
      <c r="L27" s="22">
        <f>0.04*56</f>
        <v>2.2400000000000002</v>
      </c>
    </row>
    <row r="28" spans="1:12" ht="14.4" x14ac:dyDescent="0.3">
      <c r="A28" s="2"/>
      <c r="B28" s="3"/>
      <c r="C28" s="61"/>
      <c r="D28" s="62" t="s">
        <v>24</v>
      </c>
      <c r="E28" s="63" t="s">
        <v>39</v>
      </c>
      <c r="F28" s="22">
        <v>150</v>
      </c>
      <c r="G28" s="29">
        <v>0.4</v>
      </c>
      <c r="H28" s="29">
        <v>0.4</v>
      </c>
      <c r="I28" s="29">
        <v>9.8000000000000007</v>
      </c>
      <c r="J28" s="29">
        <f>G28*4+H28*9+I28*4</f>
        <v>44.400000000000006</v>
      </c>
      <c r="K28" s="34">
        <v>338</v>
      </c>
      <c r="L28" s="22">
        <v>8</v>
      </c>
    </row>
    <row r="29" spans="1:12" ht="14.4" x14ac:dyDescent="0.3">
      <c r="A29" s="2"/>
      <c r="B29" s="3"/>
      <c r="C29" s="61"/>
      <c r="D29" s="65"/>
      <c r="E29" s="22"/>
      <c r="F29" s="22"/>
      <c r="G29" s="22"/>
      <c r="H29" s="22"/>
      <c r="I29" s="22"/>
      <c r="J29" s="22"/>
      <c r="K29" s="23"/>
      <c r="L29" s="22"/>
    </row>
    <row r="30" spans="1:12" ht="14.4" x14ac:dyDescent="0.3">
      <c r="A30" s="2"/>
      <c r="B30" s="3"/>
      <c r="C30" s="61"/>
      <c r="D30" s="65"/>
      <c r="E30" s="22"/>
      <c r="F30" s="22"/>
      <c r="G30" s="22"/>
      <c r="H30" s="22"/>
      <c r="I30" s="22"/>
      <c r="J30" s="22"/>
      <c r="K30" s="23"/>
      <c r="L30" s="22"/>
    </row>
    <row r="31" spans="1:12" ht="14.4" x14ac:dyDescent="0.3">
      <c r="A31" s="4"/>
      <c r="B31" s="5"/>
      <c r="C31" s="66"/>
      <c r="D31" s="67" t="s">
        <v>33</v>
      </c>
      <c r="E31" s="6"/>
      <c r="F31" s="6">
        <f>SUM(F24:F30)</f>
        <v>610</v>
      </c>
      <c r="G31" s="6">
        <f t="shared" ref="G31" si="6">SUM(G24:G30)</f>
        <v>20.279607843137256</v>
      </c>
      <c r="H31" s="6">
        <f t="shared" ref="H31" si="7">SUM(H24:H30)</f>
        <v>17.580980392156864</v>
      </c>
      <c r="I31" s="6">
        <f t="shared" ref="I31" si="8">SUM(I24:I30)</f>
        <v>89.300588235294128</v>
      </c>
      <c r="J31" s="6">
        <f t="shared" ref="J31:L31" si="9">SUM(J24:J30)</f>
        <v>596.54960784313732</v>
      </c>
      <c r="K31" s="11"/>
      <c r="L31" s="6">
        <f t="shared" si="9"/>
        <v>51.27</v>
      </c>
    </row>
    <row r="32" spans="1:12" ht="14.4" x14ac:dyDescent="0.3">
      <c r="A32" s="1">
        <f>A24</f>
        <v>1</v>
      </c>
      <c r="B32" s="1">
        <f>B24</f>
        <v>2</v>
      </c>
      <c r="C32" s="68" t="s">
        <v>25</v>
      </c>
      <c r="D32" s="62" t="s">
        <v>26</v>
      </c>
      <c r="E32" s="69" t="s">
        <v>56</v>
      </c>
      <c r="F32" s="30">
        <v>60</v>
      </c>
      <c r="G32" s="29">
        <f>0.3*F32/60</f>
        <v>0.3</v>
      </c>
      <c r="H32" s="29">
        <f>2*F32/60</f>
        <v>2</v>
      </c>
      <c r="I32" s="29">
        <f>1.6*F32/60</f>
        <v>1.6</v>
      </c>
      <c r="J32" s="29">
        <f t="shared" ref="J32:J34" si="10">G32*4+H32*9+I32*4</f>
        <v>25.6</v>
      </c>
      <c r="K32" s="33">
        <v>24</v>
      </c>
      <c r="L32" s="22">
        <v>10.8</v>
      </c>
    </row>
    <row r="33" spans="1:12" ht="14.4" x14ac:dyDescent="0.3">
      <c r="A33" s="2"/>
      <c r="B33" s="3"/>
      <c r="C33" s="61"/>
      <c r="D33" s="62" t="s">
        <v>27</v>
      </c>
      <c r="E33" s="60" t="s">
        <v>60</v>
      </c>
      <c r="F33" s="38" t="s">
        <v>59</v>
      </c>
      <c r="G33" s="29">
        <v>2.4300000000000002</v>
      </c>
      <c r="H33" s="29">
        <v>3.12</v>
      </c>
      <c r="I33" s="29">
        <v>12.01</v>
      </c>
      <c r="J33" s="29">
        <f t="shared" si="10"/>
        <v>85.84</v>
      </c>
      <c r="K33" s="33">
        <v>82</v>
      </c>
      <c r="L33" s="22">
        <v>21.54</v>
      </c>
    </row>
    <row r="34" spans="1:12" ht="14.4" x14ac:dyDescent="0.3">
      <c r="A34" s="2"/>
      <c r="B34" s="3"/>
      <c r="C34" s="61"/>
      <c r="D34" s="62" t="s">
        <v>28</v>
      </c>
      <c r="E34" s="60" t="s">
        <v>57</v>
      </c>
      <c r="F34" s="30">
        <v>280</v>
      </c>
      <c r="G34" s="29">
        <f>F34*18.63/200</f>
        <v>26.081999999999997</v>
      </c>
      <c r="H34" s="29">
        <f>F34*21.78/200</f>
        <v>30.492000000000004</v>
      </c>
      <c r="I34" s="29">
        <f>F34*39.36/200</f>
        <v>55.103999999999999</v>
      </c>
      <c r="J34" s="29">
        <f t="shared" si="10"/>
        <v>599.17200000000003</v>
      </c>
      <c r="K34" s="33">
        <v>291</v>
      </c>
      <c r="L34" s="22">
        <f>33.95</f>
        <v>33.950000000000003</v>
      </c>
    </row>
    <row r="35" spans="1:12" ht="14.4" x14ac:dyDescent="0.3">
      <c r="A35" s="2"/>
      <c r="B35" s="3"/>
      <c r="C35" s="61"/>
      <c r="D35" s="62" t="s">
        <v>29</v>
      </c>
      <c r="E35" s="60"/>
      <c r="F35" s="30"/>
      <c r="G35" s="29"/>
      <c r="H35" s="38"/>
      <c r="I35" s="36"/>
      <c r="J35" s="29"/>
      <c r="K35" s="33"/>
      <c r="L35" s="22"/>
    </row>
    <row r="36" spans="1:12" ht="14.4" x14ac:dyDescent="0.3">
      <c r="A36" s="2"/>
      <c r="B36" s="3"/>
      <c r="C36" s="61"/>
      <c r="D36" s="62" t="s">
        <v>30</v>
      </c>
      <c r="E36" s="60" t="s">
        <v>58</v>
      </c>
      <c r="F36" s="30">
        <v>200</v>
      </c>
      <c r="G36" s="29">
        <v>0.16</v>
      </c>
      <c r="H36" s="38">
        <v>0.16</v>
      </c>
      <c r="I36" s="36">
        <v>27.87</v>
      </c>
      <c r="J36" s="29">
        <f t="shared" ref="J36" si="11">G36*4+H36*9+I36*4</f>
        <v>113.56</v>
      </c>
      <c r="K36" s="37">
        <v>342</v>
      </c>
      <c r="L36" s="22">
        <v>4.8600000000000003</v>
      </c>
    </row>
    <row r="37" spans="1:12" ht="14.4" x14ac:dyDescent="0.3">
      <c r="A37" s="2"/>
      <c r="B37" s="3"/>
      <c r="C37" s="61"/>
      <c r="D37" s="62" t="s">
        <v>31</v>
      </c>
      <c r="E37" s="60" t="s">
        <v>43</v>
      </c>
      <c r="F37" s="30">
        <v>40</v>
      </c>
      <c r="G37" s="29">
        <f>1.52*F37/30</f>
        <v>2.0266666666666664</v>
      </c>
      <c r="H37" s="31">
        <f>0.16*F37/30</f>
        <v>0.21333333333333335</v>
      </c>
      <c r="I37" s="31">
        <f>9.84*F37/30</f>
        <v>13.120000000000001</v>
      </c>
      <c r="J37" s="31">
        <f>G37*4+H37*9+I37*4</f>
        <v>62.506666666666668</v>
      </c>
      <c r="K37" s="33" t="s">
        <v>61</v>
      </c>
      <c r="L37" s="22">
        <f>0.04*56</f>
        <v>2.2400000000000002</v>
      </c>
    </row>
    <row r="38" spans="1:12" ht="14.4" x14ac:dyDescent="0.3">
      <c r="A38" s="2"/>
      <c r="B38" s="3"/>
      <c r="C38" s="61"/>
      <c r="D38" s="62" t="s">
        <v>32</v>
      </c>
      <c r="E38" s="60" t="s">
        <v>49</v>
      </c>
      <c r="F38" s="30">
        <v>40</v>
      </c>
      <c r="G38" s="29">
        <f>2.64*F38/40</f>
        <v>2.64</v>
      </c>
      <c r="H38" s="29">
        <f>0.48*F38/40</f>
        <v>0.48</v>
      </c>
      <c r="I38" s="29">
        <f>13.68*F38/40</f>
        <v>13.680000000000001</v>
      </c>
      <c r="J38" s="29">
        <f t="shared" ref="J38" si="12">G38*4+H38*9+I38*4</f>
        <v>69.600000000000009</v>
      </c>
      <c r="K38" s="34" t="s">
        <v>44</v>
      </c>
      <c r="L38" s="22">
        <f>0.04*32</f>
        <v>1.28</v>
      </c>
    </row>
    <row r="39" spans="1:12" ht="14.4" x14ac:dyDescent="0.3">
      <c r="A39" s="2"/>
      <c r="B39" s="3"/>
      <c r="C39" s="61"/>
      <c r="D39" s="65"/>
      <c r="E39" s="22"/>
      <c r="F39" s="22"/>
      <c r="G39" s="22"/>
      <c r="H39" s="22"/>
      <c r="I39" s="22"/>
      <c r="J39" s="22"/>
      <c r="K39" s="23"/>
      <c r="L39" s="22"/>
    </row>
    <row r="40" spans="1:12" ht="14.4" x14ac:dyDescent="0.3">
      <c r="A40" s="2"/>
      <c r="B40" s="3"/>
      <c r="C40" s="61"/>
      <c r="D40" s="65"/>
      <c r="E40" s="22"/>
      <c r="F40" s="22"/>
      <c r="G40" s="22"/>
      <c r="H40" s="22"/>
      <c r="I40" s="22"/>
      <c r="J40" s="22"/>
      <c r="K40" s="23"/>
      <c r="L40" s="22"/>
    </row>
    <row r="41" spans="1:12" ht="14.4" x14ac:dyDescent="0.3">
      <c r="A41" s="4"/>
      <c r="B41" s="5"/>
      <c r="C41" s="66"/>
      <c r="D41" s="67" t="s">
        <v>33</v>
      </c>
      <c r="E41" s="6"/>
      <c r="F41" s="6">
        <f>SUM(F32:F40)</f>
        <v>620</v>
      </c>
      <c r="G41" s="6">
        <f t="shared" ref="G41" si="13">SUM(G32:G40)</f>
        <v>33.638666666666666</v>
      </c>
      <c r="H41" s="6">
        <f t="shared" ref="H41" si="14">SUM(H32:H40)</f>
        <v>36.465333333333326</v>
      </c>
      <c r="I41" s="6">
        <f t="shared" ref="I41" si="15">SUM(I32:I40)</f>
        <v>123.38400000000001</v>
      </c>
      <c r="J41" s="6">
        <f t="shared" ref="J41:L41" si="16">SUM(J32:J40)</f>
        <v>956.27866666666671</v>
      </c>
      <c r="K41" s="11"/>
      <c r="L41" s="6">
        <f t="shared" si="16"/>
        <v>74.67</v>
      </c>
    </row>
    <row r="42" spans="1:12" ht="15.75" customHeight="1" thickBot="1" x14ac:dyDescent="0.3">
      <c r="A42" s="16">
        <f>A24</f>
        <v>1</v>
      </c>
      <c r="B42" s="16">
        <f>B24</f>
        <v>2</v>
      </c>
      <c r="C42" s="84" t="s">
        <v>4</v>
      </c>
      <c r="D42" s="85"/>
      <c r="E42" s="15"/>
      <c r="F42" s="15">
        <f>F31+F41</f>
        <v>1230</v>
      </c>
      <c r="G42" s="15">
        <f t="shared" ref="G42" si="17">G31+G41</f>
        <v>53.918274509803922</v>
      </c>
      <c r="H42" s="15">
        <f t="shared" ref="H42" si="18">H31+H41</f>
        <v>54.046313725490194</v>
      </c>
      <c r="I42" s="15">
        <f t="shared" ref="I42" si="19">I31+I41</f>
        <v>212.68458823529414</v>
      </c>
      <c r="J42" s="15">
        <f t="shared" ref="J42:L42" si="20">J31+J41</f>
        <v>1552.828274509804</v>
      </c>
      <c r="K42" s="15"/>
      <c r="L42" s="15">
        <f t="shared" si="20"/>
        <v>125.94</v>
      </c>
    </row>
    <row r="43" spans="1:12" ht="15" thickBot="1" x14ac:dyDescent="0.35">
      <c r="A43" s="7">
        <v>1</v>
      </c>
      <c r="B43" s="8">
        <v>3</v>
      </c>
      <c r="C43" s="58" t="s">
        <v>20</v>
      </c>
      <c r="D43" s="59" t="s">
        <v>21</v>
      </c>
      <c r="E43" s="70" t="s">
        <v>62</v>
      </c>
      <c r="F43" s="30">
        <v>100</v>
      </c>
      <c r="G43" s="29">
        <f>F43*13.46/100</f>
        <v>13.46</v>
      </c>
      <c r="H43" s="29">
        <f>F43*10.86/100</f>
        <v>10.86</v>
      </c>
      <c r="I43" s="29">
        <f>F43*5.34/100</f>
        <v>5.34</v>
      </c>
      <c r="J43" s="29">
        <f>G43*4+H43*9+I43*4</f>
        <v>172.94</v>
      </c>
      <c r="K43" s="33">
        <v>268</v>
      </c>
      <c r="L43" s="20">
        <v>27</v>
      </c>
    </row>
    <row r="44" spans="1:12" ht="14.4" x14ac:dyDescent="0.3">
      <c r="A44" s="9"/>
      <c r="B44" s="3"/>
      <c r="C44" s="61"/>
      <c r="D44" s="71" t="s">
        <v>21</v>
      </c>
      <c r="E44" s="60" t="s">
        <v>47</v>
      </c>
      <c r="F44" s="30">
        <v>180</v>
      </c>
      <c r="G44" s="29">
        <f>5.7*F44/150</f>
        <v>6.84</v>
      </c>
      <c r="H44" s="29">
        <f>3.43*F44/150</f>
        <v>4.1159999999999997</v>
      </c>
      <c r="I44" s="29">
        <f>36.45*F44/150</f>
        <v>43.740000000000009</v>
      </c>
      <c r="J44" s="29">
        <f>G44*4+H44*9+I44*4</f>
        <v>239.36400000000003</v>
      </c>
      <c r="K44" s="33">
        <v>203</v>
      </c>
      <c r="L44" s="22">
        <v>4.9800000000000004</v>
      </c>
    </row>
    <row r="45" spans="1:12" ht="14.4" x14ac:dyDescent="0.3">
      <c r="A45" s="9"/>
      <c r="B45" s="3"/>
      <c r="C45" s="61"/>
      <c r="D45" s="62" t="s">
        <v>22</v>
      </c>
      <c r="E45" s="63" t="s">
        <v>48</v>
      </c>
      <c r="F45" s="30" t="s">
        <v>50</v>
      </c>
      <c r="G45" s="29">
        <v>0.26</v>
      </c>
      <c r="H45" s="29">
        <v>0.06</v>
      </c>
      <c r="I45" s="29">
        <v>15.22</v>
      </c>
      <c r="J45" s="29">
        <f t="shared" ref="J45:J46" si="21">G45*4+H45*9+I45*4</f>
        <v>62.46</v>
      </c>
      <c r="K45" s="33">
        <v>377</v>
      </c>
      <c r="L45" s="22">
        <v>3.12</v>
      </c>
    </row>
    <row r="46" spans="1:12" ht="14.4" x14ac:dyDescent="0.3">
      <c r="A46" s="9"/>
      <c r="B46" s="3"/>
      <c r="C46" s="61"/>
      <c r="D46" s="62" t="s">
        <v>23</v>
      </c>
      <c r="E46" s="60" t="s">
        <v>43</v>
      </c>
      <c r="F46" s="30">
        <v>40</v>
      </c>
      <c r="G46" s="29">
        <f>1.52*F46/30</f>
        <v>2.0266666666666664</v>
      </c>
      <c r="H46" s="31">
        <f>0.16*F46/30</f>
        <v>0.21333333333333335</v>
      </c>
      <c r="I46" s="31">
        <f>9.84*F46/30</f>
        <v>13.120000000000001</v>
      </c>
      <c r="J46" s="31">
        <f t="shared" si="21"/>
        <v>62.506666666666668</v>
      </c>
      <c r="K46" s="34" t="s">
        <v>44</v>
      </c>
      <c r="L46" s="22">
        <v>2.2400000000000002</v>
      </c>
    </row>
    <row r="47" spans="1:12" ht="14.4" x14ac:dyDescent="0.3">
      <c r="A47" s="9"/>
      <c r="B47" s="3"/>
      <c r="C47" s="61"/>
      <c r="D47" s="62" t="s">
        <v>24</v>
      </c>
      <c r="E47" s="63" t="s">
        <v>39</v>
      </c>
      <c r="F47" s="22">
        <v>150</v>
      </c>
      <c r="G47" s="29">
        <v>0.4</v>
      </c>
      <c r="H47" s="29">
        <v>0.4</v>
      </c>
      <c r="I47" s="29">
        <v>9.8000000000000007</v>
      </c>
      <c r="J47" s="29">
        <f>G47*4+H47*9+I47*4</f>
        <v>44.400000000000006</v>
      </c>
      <c r="K47" s="34">
        <v>338</v>
      </c>
      <c r="L47" s="22">
        <v>8</v>
      </c>
    </row>
    <row r="48" spans="1:12" ht="14.4" x14ac:dyDescent="0.3">
      <c r="A48" s="9"/>
      <c r="B48" s="3"/>
      <c r="C48" s="61"/>
      <c r="D48" s="65"/>
      <c r="E48" s="22"/>
      <c r="F48" s="22"/>
      <c r="G48" s="22"/>
      <c r="H48" s="22"/>
      <c r="I48" s="22"/>
      <c r="J48" s="22"/>
      <c r="K48" s="23"/>
      <c r="L48" s="22"/>
    </row>
    <row r="49" spans="1:12" ht="14.4" x14ac:dyDescent="0.3">
      <c r="A49" s="9"/>
      <c r="B49" s="3"/>
      <c r="C49" s="61"/>
      <c r="D49" s="65"/>
      <c r="E49" s="22"/>
      <c r="F49" s="22"/>
      <c r="G49" s="22"/>
      <c r="H49" s="22"/>
      <c r="I49" s="22"/>
      <c r="J49" s="22"/>
      <c r="K49" s="23"/>
      <c r="L49" s="22"/>
    </row>
    <row r="50" spans="1:12" ht="14.4" x14ac:dyDescent="0.3">
      <c r="A50" s="10"/>
      <c r="B50" s="5"/>
      <c r="C50" s="66"/>
      <c r="D50" s="67" t="s">
        <v>33</v>
      </c>
      <c r="E50" s="6"/>
      <c r="F50" s="6">
        <f>SUM(F43:F49)</f>
        <v>470</v>
      </c>
      <c r="G50" s="6">
        <f t="shared" ref="G50" si="22">SUM(G43:G49)</f>
        <v>22.986666666666668</v>
      </c>
      <c r="H50" s="6">
        <f t="shared" ref="H50" si="23">SUM(H43:H49)</f>
        <v>15.649333333333333</v>
      </c>
      <c r="I50" s="6">
        <f t="shared" ref="I50" si="24">SUM(I43:I49)</f>
        <v>87.220000000000013</v>
      </c>
      <c r="J50" s="6">
        <f t="shared" ref="J50:L50" si="25">SUM(J43:J49)</f>
        <v>581.67066666666665</v>
      </c>
      <c r="K50" s="11"/>
      <c r="L50" s="6">
        <f t="shared" si="25"/>
        <v>45.34</v>
      </c>
    </row>
    <row r="51" spans="1:12" ht="14.4" x14ac:dyDescent="0.3">
      <c r="A51" s="12">
        <f>A43</f>
        <v>1</v>
      </c>
      <c r="B51" s="1">
        <f>B43</f>
        <v>3</v>
      </c>
      <c r="C51" s="68" t="s">
        <v>25</v>
      </c>
      <c r="D51" s="62" t="s">
        <v>26</v>
      </c>
      <c r="E51" s="63" t="s">
        <v>66</v>
      </c>
      <c r="F51" s="30">
        <v>100</v>
      </c>
      <c r="G51" s="22">
        <v>1.5</v>
      </c>
      <c r="H51" s="22">
        <v>5.166666666666667</v>
      </c>
      <c r="I51" s="22">
        <v>9.3333333333333339</v>
      </c>
      <c r="J51" s="22">
        <v>89.833333333333343</v>
      </c>
      <c r="K51" s="33">
        <v>56</v>
      </c>
      <c r="L51" s="22">
        <v>4.05</v>
      </c>
    </row>
    <row r="52" spans="1:12" ht="14.4" x14ac:dyDescent="0.3">
      <c r="A52" s="9"/>
      <c r="B52" s="3"/>
      <c r="C52" s="61"/>
      <c r="D52" s="62" t="s">
        <v>27</v>
      </c>
      <c r="E52" s="60" t="s">
        <v>67</v>
      </c>
      <c r="F52" s="30">
        <v>250</v>
      </c>
      <c r="G52" s="22">
        <v>2.6</v>
      </c>
      <c r="H52" s="22">
        <v>6.13</v>
      </c>
      <c r="I52" s="22">
        <v>17.03</v>
      </c>
      <c r="J52" s="22">
        <v>133.69</v>
      </c>
      <c r="K52" s="33">
        <v>96</v>
      </c>
      <c r="L52" s="22">
        <v>7.54</v>
      </c>
    </row>
    <row r="53" spans="1:12" ht="14.4" x14ac:dyDescent="0.3">
      <c r="A53" s="9"/>
      <c r="B53" s="3"/>
      <c r="C53" s="61"/>
      <c r="D53" s="62" t="s">
        <v>28</v>
      </c>
      <c r="E53" s="60" t="s">
        <v>63</v>
      </c>
      <c r="F53" s="30">
        <v>100</v>
      </c>
      <c r="G53" s="22">
        <v>18.537500000000001</v>
      </c>
      <c r="H53" s="22">
        <v>25.862500000000001</v>
      </c>
      <c r="I53" s="22">
        <v>4.7625000000000002</v>
      </c>
      <c r="J53" s="22">
        <v>325.96250000000003</v>
      </c>
      <c r="K53" s="33">
        <v>266</v>
      </c>
      <c r="L53" s="22">
        <v>27</v>
      </c>
    </row>
    <row r="54" spans="1:12" ht="14.4" x14ac:dyDescent="0.3">
      <c r="A54" s="9"/>
      <c r="B54" s="3"/>
      <c r="C54" s="61"/>
      <c r="D54" s="62" t="s">
        <v>29</v>
      </c>
      <c r="E54" s="60" t="s">
        <v>64</v>
      </c>
      <c r="F54" s="30">
        <v>180</v>
      </c>
      <c r="G54" s="22">
        <v>3.9480000000000004</v>
      </c>
      <c r="H54" s="22">
        <v>8.4719999999999995</v>
      </c>
      <c r="I54" s="22">
        <v>26.652000000000001</v>
      </c>
      <c r="J54" s="22">
        <v>198.648</v>
      </c>
      <c r="K54" s="34">
        <v>312</v>
      </c>
      <c r="L54" s="22">
        <f>1768/170</f>
        <v>10.4</v>
      </c>
    </row>
    <row r="55" spans="1:12" ht="14.4" x14ac:dyDescent="0.3">
      <c r="A55" s="9"/>
      <c r="B55" s="3"/>
      <c r="C55" s="61"/>
      <c r="D55" s="62" t="s">
        <v>30</v>
      </c>
      <c r="E55" s="60" t="s">
        <v>65</v>
      </c>
      <c r="F55" s="30">
        <v>200</v>
      </c>
      <c r="G55" s="22">
        <v>1</v>
      </c>
      <c r="H55" s="22">
        <v>0.2</v>
      </c>
      <c r="I55" s="22">
        <v>20.2</v>
      </c>
      <c r="J55" s="22">
        <v>86.6</v>
      </c>
      <c r="K55" s="33">
        <v>389</v>
      </c>
      <c r="L55" s="22">
        <f>104/5</f>
        <v>20.8</v>
      </c>
    </row>
    <row r="56" spans="1:12" ht="14.4" x14ac:dyDescent="0.3">
      <c r="A56" s="9"/>
      <c r="B56" s="3"/>
      <c r="C56" s="61"/>
      <c r="D56" s="62" t="s">
        <v>31</v>
      </c>
      <c r="E56" s="60" t="s">
        <v>43</v>
      </c>
      <c r="F56" s="30">
        <v>40</v>
      </c>
      <c r="G56" s="29">
        <f>1.52*F56/30</f>
        <v>2.0266666666666664</v>
      </c>
      <c r="H56" s="31">
        <f>0.16*F56/30</f>
        <v>0.21333333333333335</v>
      </c>
      <c r="I56" s="31">
        <f>9.84*F56/30</f>
        <v>13.120000000000001</v>
      </c>
      <c r="J56" s="31">
        <f>G56*4+H56*9+I56*4</f>
        <v>62.506666666666668</v>
      </c>
      <c r="K56" s="33" t="s">
        <v>61</v>
      </c>
      <c r="L56" s="22">
        <f>0.04*56</f>
        <v>2.2400000000000002</v>
      </c>
    </row>
    <row r="57" spans="1:12" ht="14.4" x14ac:dyDescent="0.3">
      <c r="A57" s="9"/>
      <c r="B57" s="3"/>
      <c r="C57" s="61"/>
      <c r="D57" s="62" t="s">
        <v>32</v>
      </c>
      <c r="E57" s="60" t="s">
        <v>49</v>
      </c>
      <c r="F57" s="30">
        <v>40</v>
      </c>
      <c r="G57" s="29">
        <f>2.64*F57/40</f>
        <v>2.64</v>
      </c>
      <c r="H57" s="29">
        <f>0.48*F57/40</f>
        <v>0.48</v>
      </c>
      <c r="I57" s="29">
        <f>13.68*F57/40</f>
        <v>13.680000000000001</v>
      </c>
      <c r="J57" s="29">
        <f t="shared" ref="J57" si="26">G57*4+H57*9+I57*4</f>
        <v>69.600000000000009</v>
      </c>
      <c r="K57" s="34" t="s">
        <v>44</v>
      </c>
      <c r="L57" s="22">
        <f>0.04*32</f>
        <v>1.28</v>
      </c>
    </row>
    <row r="58" spans="1:12" ht="14.4" x14ac:dyDescent="0.3">
      <c r="A58" s="9"/>
      <c r="B58" s="3"/>
      <c r="C58" s="61"/>
      <c r="D58" s="65"/>
      <c r="E58" s="22"/>
      <c r="F58" s="22"/>
      <c r="G58" s="22"/>
      <c r="H58" s="22"/>
      <c r="I58" s="22"/>
      <c r="J58" s="22"/>
      <c r="K58" s="23"/>
      <c r="L58" s="22"/>
    </row>
    <row r="59" spans="1:12" ht="14.4" x14ac:dyDescent="0.3">
      <c r="A59" s="9"/>
      <c r="B59" s="3"/>
      <c r="C59" s="61"/>
      <c r="D59" s="65"/>
      <c r="E59" s="22"/>
      <c r="F59" s="22"/>
      <c r="G59" s="22"/>
      <c r="H59" s="22"/>
      <c r="I59" s="22"/>
      <c r="J59" s="22"/>
      <c r="K59" s="23"/>
      <c r="L59" s="22"/>
    </row>
    <row r="60" spans="1:12" ht="14.4" x14ac:dyDescent="0.3">
      <c r="A60" s="10"/>
      <c r="B60" s="5"/>
      <c r="C60" s="66"/>
      <c r="D60" s="67" t="s">
        <v>33</v>
      </c>
      <c r="E60" s="6"/>
      <c r="F60" s="6">
        <f>SUM(F51:F59)</f>
        <v>910</v>
      </c>
      <c r="G60" s="6">
        <f t="shared" ref="G60" si="27">SUM(G51:G59)</f>
        <v>32.252166666666668</v>
      </c>
      <c r="H60" s="6">
        <f t="shared" ref="H60" si="28">SUM(H51:H59)</f>
        <v>46.524499999999996</v>
      </c>
      <c r="I60" s="6">
        <f t="shared" ref="I60" si="29">SUM(I51:I59)</f>
        <v>104.77783333333335</v>
      </c>
      <c r="J60" s="6">
        <f t="shared" ref="J60:L60" si="30">SUM(J51:J59)</f>
        <v>966.84050000000013</v>
      </c>
      <c r="K60" s="11"/>
      <c r="L60" s="6">
        <f t="shared" si="30"/>
        <v>73.31</v>
      </c>
    </row>
    <row r="61" spans="1:12" ht="15.75" customHeight="1" thickBot="1" x14ac:dyDescent="0.3">
      <c r="A61" s="13">
        <f>A43</f>
        <v>1</v>
      </c>
      <c r="B61" s="14">
        <f>B43</f>
        <v>3</v>
      </c>
      <c r="C61" s="84" t="s">
        <v>4</v>
      </c>
      <c r="D61" s="85"/>
      <c r="E61" s="15"/>
      <c r="F61" s="39">
        <f>F50+F60</f>
        <v>1380</v>
      </c>
      <c r="G61" s="15">
        <f t="shared" ref="G61" si="31">G50+G60</f>
        <v>55.238833333333332</v>
      </c>
      <c r="H61" s="15">
        <f t="shared" ref="H61" si="32">H50+H60</f>
        <v>62.173833333333327</v>
      </c>
      <c r="I61" s="15">
        <f t="shared" ref="I61" si="33">I50+I60</f>
        <v>191.99783333333335</v>
      </c>
      <c r="J61" s="15">
        <f t="shared" ref="J61:L61" si="34">J50+J60</f>
        <v>1548.5111666666667</v>
      </c>
      <c r="K61" s="15"/>
      <c r="L61" s="15">
        <f t="shared" si="34"/>
        <v>118.65</v>
      </c>
    </row>
    <row r="62" spans="1:12" ht="21" thickBot="1" x14ac:dyDescent="0.35">
      <c r="A62" s="7">
        <v>1</v>
      </c>
      <c r="B62" s="8">
        <v>4</v>
      </c>
      <c r="C62" s="58" t="s">
        <v>20</v>
      </c>
      <c r="D62" s="59" t="s">
        <v>21</v>
      </c>
      <c r="E62" s="60" t="s">
        <v>71</v>
      </c>
      <c r="F62" s="40">
        <v>100</v>
      </c>
      <c r="G62" s="51">
        <f>14.8*F62/80</f>
        <v>18.5</v>
      </c>
      <c r="H62" s="51">
        <f>20.69*F62/80</f>
        <v>25.862500000000001</v>
      </c>
      <c r="I62" s="51">
        <f>3.81*F62/80</f>
        <v>4.7625000000000002</v>
      </c>
      <c r="J62" s="51">
        <f t="shared" ref="J62:J65" si="35">G62*4+H62*9+I62*4</f>
        <v>325.81250000000006</v>
      </c>
      <c r="K62" s="42">
        <v>268</v>
      </c>
      <c r="L62" s="20">
        <v>27</v>
      </c>
    </row>
    <row r="63" spans="1:12" ht="14.4" x14ac:dyDescent="0.3">
      <c r="A63" s="9"/>
      <c r="B63" s="3"/>
      <c r="C63" s="61"/>
      <c r="D63" s="59" t="s">
        <v>21</v>
      </c>
      <c r="E63" s="60" t="s">
        <v>72</v>
      </c>
      <c r="F63" s="41">
        <v>180</v>
      </c>
      <c r="G63" s="48">
        <f>3.7*F63/150</f>
        <v>4.4400000000000004</v>
      </c>
      <c r="H63" s="48">
        <f>5.37*F63/150</f>
        <v>6.444</v>
      </c>
      <c r="I63" s="48">
        <f>36.68*F63/150</f>
        <v>44.015999999999998</v>
      </c>
      <c r="J63" s="48">
        <f t="shared" si="35"/>
        <v>251.82</v>
      </c>
      <c r="K63" s="43">
        <v>304</v>
      </c>
      <c r="L63" s="22">
        <f>0.04*105+0.005*610</f>
        <v>7.25</v>
      </c>
    </row>
    <row r="64" spans="1:12" ht="14.4" x14ac:dyDescent="0.3">
      <c r="A64" s="9"/>
      <c r="B64" s="3"/>
      <c r="C64" s="61"/>
      <c r="D64" s="62" t="s">
        <v>22</v>
      </c>
      <c r="E64" s="60" t="s">
        <v>73</v>
      </c>
      <c r="F64" s="41">
        <v>200</v>
      </c>
      <c r="G64" s="48">
        <v>3.17</v>
      </c>
      <c r="H64" s="48">
        <v>2.68</v>
      </c>
      <c r="I64" s="48">
        <v>15.95</v>
      </c>
      <c r="J64" s="48">
        <f t="shared" si="35"/>
        <v>100.6</v>
      </c>
      <c r="K64" s="43">
        <v>379</v>
      </c>
      <c r="L64" s="22">
        <v>20.54</v>
      </c>
    </row>
    <row r="65" spans="1:12" ht="14.4" x14ac:dyDescent="0.3">
      <c r="A65" s="9"/>
      <c r="B65" s="3"/>
      <c r="C65" s="61"/>
      <c r="D65" s="62" t="s">
        <v>23</v>
      </c>
      <c r="E65" s="60" t="s">
        <v>43</v>
      </c>
      <c r="F65" s="41">
        <v>40</v>
      </c>
      <c r="G65" s="48">
        <f>1.52*F65/30</f>
        <v>2.0266666666666664</v>
      </c>
      <c r="H65" s="49">
        <f>0.16*F65/30</f>
        <v>0.21333333333333335</v>
      </c>
      <c r="I65" s="49">
        <f>9.84*F65/30</f>
        <v>13.120000000000001</v>
      </c>
      <c r="J65" s="49">
        <f t="shared" si="35"/>
        <v>62.506666666666668</v>
      </c>
      <c r="K65" s="44" t="s">
        <v>44</v>
      </c>
      <c r="L65" s="22">
        <v>2.2400000000000002</v>
      </c>
    </row>
    <row r="66" spans="1:12" ht="14.4" x14ac:dyDescent="0.3">
      <c r="A66" s="9"/>
      <c r="B66" s="3"/>
      <c r="C66" s="61"/>
      <c r="D66" s="62" t="s">
        <v>24</v>
      </c>
      <c r="E66" s="63" t="s">
        <v>39</v>
      </c>
      <c r="F66" s="22">
        <v>150</v>
      </c>
      <c r="G66" s="29">
        <v>0.4</v>
      </c>
      <c r="H66" s="29">
        <v>0.4</v>
      </c>
      <c r="I66" s="29">
        <v>9.8000000000000007</v>
      </c>
      <c r="J66" s="29">
        <f>G66*4+H66*9+I66*4</f>
        <v>44.400000000000006</v>
      </c>
      <c r="K66" s="34">
        <v>338</v>
      </c>
      <c r="L66" s="22">
        <v>8</v>
      </c>
    </row>
    <row r="67" spans="1:12" ht="14.4" x14ac:dyDescent="0.3">
      <c r="A67" s="9"/>
      <c r="B67" s="3"/>
      <c r="C67" s="61"/>
      <c r="D67" s="65"/>
      <c r="E67" s="22"/>
      <c r="F67" s="22"/>
      <c r="G67" s="22"/>
      <c r="H67" s="22"/>
      <c r="I67" s="22"/>
      <c r="J67" s="22"/>
      <c r="K67" s="23"/>
      <c r="L67" s="22"/>
    </row>
    <row r="68" spans="1:12" ht="14.4" x14ac:dyDescent="0.3">
      <c r="A68" s="9"/>
      <c r="B68" s="3"/>
      <c r="C68" s="61"/>
      <c r="D68" s="65"/>
      <c r="E68" s="22"/>
      <c r="F68" s="22"/>
      <c r="G68" s="22"/>
      <c r="H68" s="22"/>
      <c r="I68" s="22"/>
      <c r="J68" s="22"/>
      <c r="K68" s="23"/>
      <c r="L68" s="22"/>
    </row>
    <row r="69" spans="1:12" ht="14.4" x14ac:dyDescent="0.3">
      <c r="A69" s="10"/>
      <c r="B69" s="5"/>
      <c r="C69" s="66"/>
      <c r="D69" s="67" t="s">
        <v>33</v>
      </c>
      <c r="E69" s="6"/>
      <c r="F69" s="6">
        <f>SUM(F62:F68)</f>
        <v>670</v>
      </c>
      <c r="G69" s="47">
        <f t="shared" ref="G69" si="36">SUM(G62:G68)</f>
        <v>28.536666666666665</v>
      </c>
      <c r="H69" s="47">
        <f t="shared" ref="H69" si="37">SUM(H62:H68)</f>
        <v>35.599833333333329</v>
      </c>
      <c r="I69" s="47">
        <f t="shared" ref="I69" si="38">SUM(I62:I68)</f>
        <v>87.648499999999999</v>
      </c>
      <c r="J69" s="47">
        <f t="shared" ref="J69:L69" si="39">SUM(J62:J68)</f>
        <v>785.13916666666671</v>
      </c>
      <c r="K69" s="11"/>
      <c r="L69" s="6">
        <f t="shared" si="39"/>
        <v>65.03</v>
      </c>
    </row>
    <row r="70" spans="1:12" ht="14.4" x14ac:dyDescent="0.3">
      <c r="A70" s="12">
        <f>A62</f>
        <v>1</v>
      </c>
      <c r="B70" s="1">
        <f>B62</f>
        <v>4</v>
      </c>
      <c r="C70" s="68" t="s">
        <v>25</v>
      </c>
      <c r="D70" s="62" t="s">
        <v>26</v>
      </c>
      <c r="E70" s="72" t="s">
        <v>74</v>
      </c>
      <c r="F70" s="41">
        <v>100</v>
      </c>
      <c r="G70" s="73">
        <v>1.4333333333333333</v>
      </c>
      <c r="H70" s="45">
        <v>5.083333333333333</v>
      </c>
      <c r="I70" s="45">
        <v>8.5500000000000007</v>
      </c>
      <c r="J70" s="45">
        <v>85.683333333333337</v>
      </c>
      <c r="K70" s="44">
        <v>52</v>
      </c>
      <c r="L70" s="22">
        <v>3.05</v>
      </c>
    </row>
    <row r="71" spans="1:12" ht="14.4" x14ac:dyDescent="0.3">
      <c r="A71" s="9"/>
      <c r="B71" s="3"/>
      <c r="C71" s="61"/>
      <c r="D71" s="62" t="s">
        <v>27</v>
      </c>
      <c r="E71" s="72" t="s">
        <v>75</v>
      </c>
      <c r="F71" s="46" t="s">
        <v>59</v>
      </c>
      <c r="G71" s="73">
        <v>8.7100000000000009</v>
      </c>
      <c r="H71" s="45">
        <v>8.77</v>
      </c>
      <c r="I71" s="45">
        <v>23.67</v>
      </c>
      <c r="J71" s="45">
        <v>208.45</v>
      </c>
      <c r="K71" s="43">
        <v>113</v>
      </c>
      <c r="L71" s="22">
        <v>12.35</v>
      </c>
    </row>
    <row r="72" spans="1:12" ht="14.4" x14ac:dyDescent="0.3">
      <c r="A72" s="9"/>
      <c r="B72" s="3"/>
      <c r="C72" s="61"/>
      <c r="D72" s="62" t="s">
        <v>28</v>
      </c>
      <c r="E72" s="72" t="s">
        <v>76</v>
      </c>
      <c r="F72" s="41">
        <v>100</v>
      </c>
      <c r="G72" s="73">
        <v>20.2</v>
      </c>
      <c r="H72" s="45">
        <v>12.07</v>
      </c>
      <c r="I72" s="45">
        <v>2.08</v>
      </c>
      <c r="J72" s="45">
        <v>197.75</v>
      </c>
      <c r="K72" s="44">
        <v>232</v>
      </c>
      <c r="L72" s="22">
        <v>27</v>
      </c>
    </row>
    <row r="73" spans="1:12" ht="14.4" x14ac:dyDescent="0.3">
      <c r="A73" s="9"/>
      <c r="B73" s="3"/>
      <c r="C73" s="61"/>
      <c r="D73" s="62" t="s">
        <v>29</v>
      </c>
      <c r="E73" s="72" t="s">
        <v>64</v>
      </c>
      <c r="F73" s="41">
        <v>180</v>
      </c>
      <c r="G73" s="73">
        <v>3.9480000000000004</v>
      </c>
      <c r="H73" s="45">
        <v>8.4719999999999995</v>
      </c>
      <c r="I73" s="45">
        <v>26.652000000000001</v>
      </c>
      <c r="J73" s="45">
        <v>198.648</v>
      </c>
      <c r="K73" s="44">
        <v>312</v>
      </c>
      <c r="L73" s="22">
        <f>(0.2*27+0.005*610+0.05*86)</f>
        <v>12.75</v>
      </c>
    </row>
    <row r="74" spans="1:12" ht="14.4" x14ac:dyDescent="0.3">
      <c r="A74" s="9"/>
      <c r="B74" s="3"/>
      <c r="C74" s="61"/>
      <c r="D74" s="62" t="s">
        <v>30</v>
      </c>
      <c r="E74" s="72" t="s">
        <v>77</v>
      </c>
      <c r="F74" s="41">
        <v>200</v>
      </c>
      <c r="G74" s="73">
        <v>0.22</v>
      </c>
      <c r="H74" s="45">
        <v>0</v>
      </c>
      <c r="I74" s="45">
        <v>24.42</v>
      </c>
      <c r="J74" s="45">
        <v>98.56</v>
      </c>
      <c r="K74" s="44">
        <v>349</v>
      </c>
      <c r="L74" s="22">
        <v>8.42</v>
      </c>
    </row>
    <row r="75" spans="1:12" ht="14.4" x14ac:dyDescent="0.3">
      <c r="A75" s="9"/>
      <c r="B75" s="3"/>
      <c r="C75" s="61"/>
      <c r="D75" s="62" t="s">
        <v>31</v>
      </c>
      <c r="E75" s="60" t="s">
        <v>43</v>
      </c>
      <c r="F75" s="30">
        <v>40</v>
      </c>
      <c r="G75" s="29">
        <f>1.52*F75/30</f>
        <v>2.0266666666666664</v>
      </c>
      <c r="H75" s="31">
        <f>0.16*F75/30</f>
        <v>0.21333333333333335</v>
      </c>
      <c r="I75" s="31">
        <f>9.84*F75/30</f>
        <v>13.120000000000001</v>
      </c>
      <c r="J75" s="31">
        <f>G75*4+H75*9+I75*4</f>
        <v>62.506666666666668</v>
      </c>
      <c r="K75" s="50" t="s">
        <v>44</v>
      </c>
      <c r="L75" s="22">
        <f>0.04*56</f>
        <v>2.2400000000000002</v>
      </c>
    </row>
    <row r="76" spans="1:12" ht="14.4" x14ac:dyDescent="0.3">
      <c r="A76" s="9"/>
      <c r="B76" s="3"/>
      <c r="C76" s="61"/>
      <c r="D76" s="62" t="s">
        <v>32</v>
      </c>
      <c r="E76" s="60" t="s">
        <v>49</v>
      </c>
      <c r="F76" s="30">
        <v>40</v>
      </c>
      <c r="G76" s="29">
        <f>2.64*F76/40</f>
        <v>2.64</v>
      </c>
      <c r="H76" s="29">
        <f>0.48*F76/40</f>
        <v>0.48</v>
      </c>
      <c r="I76" s="29">
        <f>13.68*F76/40</f>
        <v>13.680000000000001</v>
      </c>
      <c r="J76" s="29">
        <f t="shared" ref="J76" si="40">G76*4+H76*9+I76*4</f>
        <v>69.600000000000009</v>
      </c>
      <c r="K76" s="44" t="s">
        <v>44</v>
      </c>
      <c r="L76" s="22">
        <f>0.04*32</f>
        <v>1.28</v>
      </c>
    </row>
    <row r="77" spans="1:12" ht="14.4" x14ac:dyDescent="0.3">
      <c r="A77" s="9"/>
      <c r="B77" s="3"/>
      <c r="C77" s="61"/>
      <c r="D77" s="65"/>
      <c r="E77" s="22"/>
      <c r="F77" s="22"/>
      <c r="G77" s="22"/>
      <c r="H77" s="22"/>
      <c r="I77" s="22"/>
      <c r="J77" s="22"/>
      <c r="K77" s="23"/>
      <c r="L77" s="22"/>
    </row>
    <row r="78" spans="1:12" ht="14.4" x14ac:dyDescent="0.3">
      <c r="A78" s="9"/>
      <c r="B78" s="3"/>
      <c r="C78" s="61"/>
      <c r="D78" s="65"/>
      <c r="E78" s="22"/>
      <c r="F78" s="22"/>
      <c r="G78" s="22"/>
      <c r="H78" s="22"/>
      <c r="I78" s="22"/>
      <c r="J78" s="22"/>
      <c r="K78" s="23"/>
      <c r="L78" s="22"/>
    </row>
    <row r="79" spans="1:12" ht="14.4" x14ac:dyDescent="0.3">
      <c r="A79" s="10"/>
      <c r="B79" s="5"/>
      <c r="C79" s="66"/>
      <c r="D79" s="67" t="s">
        <v>33</v>
      </c>
      <c r="E79" s="6"/>
      <c r="F79" s="6">
        <f>SUM(F70:F78)</f>
        <v>660</v>
      </c>
      <c r="G79" s="6">
        <f t="shared" ref="G79" si="41">SUM(G70:G78)</f>
        <v>39.177999999999997</v>
      </c>
      <c r="H79" s="6">
        <f t="shared" ref="H79" si="42">SUM(H70:H78)</f>
        <v>35.088666666666661</v>
      </c>
      <c r="I79" s="6">
        <f t="shared" ref="I79" si="43">SUM(I70:I78)</f>
        <v>112.17200000000001</v>
      </c>
      <c r="J79" s="6">
        <f t="shared" ref="J79:L79" si="44">SUM(J70:J78)</f>
        <v>921.19799999999998</v>
      </c>
      <c r="K79" s="11"/>
      <c r="L79" s="6">
        <f t="shared" si="44"/>
        <v>67.09</v>
      </c>
    </row>
    <row r="80" spans="1:12" ht="15.75" customHeight="1" thickBot="1" x14ac:dyDescent="0.3">
      <c r="A80" s="13">
        <f>A62</f>
        <v>1</v>
      </c>
      <c r="B80" s="14">
        <f>B62</f>
        <v>4</v>
      </c>
      <c r="C80" s="84" t="s">
        <v>4</v>
      </c>
      <c r="D80" s="85"/>
      <c r="E80" s="15"/>
      <c r="F80" s="15">
        <f>F69+F79</f>
        <v>1330</v>
      </c>
      <c r="G80" s="15">
        <f t="shared" ref="G80" si="45">G69+G79</f>
        <v>67.714666666666659</v>
      </c>
      <c r="H80" s="15">
        <f t="shared" ref="H80" si="46">H69+H79</f>
        <v>70.688499999999991</v>
      </c>
      <c r="I80" s="15">
        <f t="shared" ref="I80" si="47">I69+I79</f>
        <v>199.82050000000001</v>
      </c>
      <c r="J80" s="15">
        <f t="shared" ref="J80:L80" si="48">J69+J79</f>
        <v>1706.3371666666667</v>
      </c>
      <c r="K80" s="15"/>
      <c r="L80" s="15">
        <f t="shared" si="48"/>
        <v>132.12</v>
      </c>
    </row>
    <row r="81" spans="1:12" ht="14.4" x14ac:dyDescent="0.3">
      <c r="A81" s="7">
        <v>1</v>
      </c>
      <c r="B81" s="8">
        <v>5</v>
      </c>
      <c r="C81" s="58" t="s">
        <v>20</v>
      </c>
      <c r="D81" s="59" t="s">
        <v>21</v>
      </c>
      <c r="E81" s="72" t="s">
        <v>78</v>
      </c>
      <c r="F81" s="20">
        <v>180</v>
      </c>
      <c r="G81" s="20">
        <v>20.362500000000001</v>
      </c>
      <c r="H81" s="20">
        <v>23.737500000000001</v>
      </c>
      <c r="I81" s="20">
        <v>6.3</v>
      </c>
      <c r="J81" s="20">
        <v>320.28750000000002</v>
      </c>
      <c r="K81" s="21">
        <v>210</v>
      </c>
      <c r="L81" s="20">
        <v>29.37</v>
      </c>
    </row>
    <row r="82" spans="1:12" ht="14.4" x14ac:dyDescent="0.3">
      <c r="A82" s="9"/>
      <c r="B82" s="3"/>
      <c r="C82" s="61"/>
      <c r="D82" s="64" t="s">
        <v>26</v>
      </c>
      <c r="E82" s="60" t="s">
        <v>40</v>
      </c>
      <c r="F82" s="30">
        <v>25</v>
      </c>
      <c r="G82" s="29">
        <f>2.32*F82/10</f>
        <v>5.7999999999999989</v>
      </c>
      <c r="H82" s="29">
        <f>3.4*F82/10</f>
        <v>8.5</v>
      </c>
      <c r="I82" s="29">
        <f>0.01*F82/10</f>
        <v>2.5000000000000001E-2</v>
      </c>
      <c r="J82" s="29">
        <f>G82*4+H82*9+I82*4</f>
        <v>99.799999999999983</v>
      </c>
      <c r="K82" s="32">
        <v>15</v>
      </c>
      <c r="L82" s="22">
        <f>590*0.03</f>
        <v>17.7</v>
      </c>
    </row>
    <row r="83" spans="1:12" ht="14.4" x14ac:dyDescent="0.3">
      <c r="A83" s="2"/>
      <c r="B83" s="3"/>
      <c r="C83" s="61"/>
      <c r="D83" s="62" t="s">
        <v>22</v>
      </c>
      <c r="E83" s="22" t="s">
        <v>55</v>
      </c>
      <c r="F83" s="30">
        <v>200</v>
      </c>
      <c r="G83" s="29">
        <v>0.2</v>
      </c>
      <c r="H83" s="29">
        <v>0.05</v>
      </c>
      <c r="I83" s="29">
        <v>15.01</v>
      </c>
      <c r="J83" s="29">
        <f>G83*4+H83*9+I83*4</f>
        <v>61.29</v>
      </c>
      <c r="K83" s="33">
        <v>376</v>
      </c>
      <c r="L83" s="22">
        <v>1.7</v>
      </c>
    </row>
    <row r="84" spans="1:12" ht="14.4" x14ac:dyDescent="0.3">
      <c r="A84" s="9"/>
      <c r="B84" s="3"/>
      <c r="C84" s="61"/>
      <c r="D84" s="62" t="s">
        <v>31</v>
      </c>
      <c r="E84" s="60" t="s">
        <v>43</v>
      </c>
      <c r="F84" s="41">
        <v>40</v>
      </c>
      <c r="G84" s="29">
        <v>2.64</v>
      </c>
      <c r="H84" s="29">
        <v>0.48</v>
      </c>
      <c r="I84" s="29">
        <v>13.680000000000001</v>
      </c>
      <c r="J84" s="29">
        <v>69.600000000000009</v>
      </c>
      <c r="K84" s="50" t="s">
        <v>44</v>
      </c>
      <c r="L84" s="22">
        <f>0.04*56</f>
        <v>2.2400000000000002</v>
      </c>
    </row>
    <row r="85" spans="1:12" ht="14.4" x14ac:dyDescent="0.3">
      <c r="A85" s="9"/>
      <c r="B85" s="3"/>
      <c r="C85" s="61"/>
      <c r="D85" s="62" t="s">
        <v>24</v>
      </c>
      <c r="E85" s="63" t="s">
        <v>39</v>
      </c>
      <c r="F85" s="22">
        <v>150</v>
      </c>
      <c r="G85" s="29">
        <v>0.4</v>
      </c>
      <c r="H85" s="29">
        <v>0.4</v>
      </c>
      <c r="I85" s="29">
        <v>9.8000000000000007</v>
      </c>
      <c r="J85" s="29">
        <f>G85*4+H85*9+I85*4</f>
        <v>44.400000000000006</v>
      </c>
      <c r="K85" s="34">
        <v>338</v>
      </c>
      <c r="L85" s="22">
        <v>8</v>
      </c>
    </row>
    <row r="86" spans="1:12" ht="14.4" x14ac:dyDescent="0.3">
      <c r="A86" s="9"/>
      <c r="B86" s="3"/>
      <c r="C86" s="61"/>
      <c r="D86" s="65"/>
      <c r="E86" s="22"/>
      <c r="F86" s="22"/>
      <c r="G86" s="22"/>
      <c r="H86" s="22"/>
      <c r="I86" s="22"/>
      <c r="J86" s="22"/>
      <c r="K86" s="23"/>
      <c r="L86" s="22"/>
    </row>
    <row r="87" spans="1:12" ht="14.4" x14ac:dyDescent="0.3">
      <c r="A87" s="9"/>
      <c r="B87" s="3"/>
      <c r="C87" s="61"/>
      <c r="D87" s="65"/>
      <c r="E87" s="22"/>
      <c r="F87" s="22"/>
      <c r="G87" s="22"/>
      <c r="H87" s="22"/>
      <c r="I87" s="22"/>
      <c r="J87" s="22"/>
      <c r="K87" s="23"/>
      <c r="L87" s="22"/>
    </row>
    <row r="88" spans="1:12" ht="14.4" x14ac:dyDescent="0.3">
      <c r="A88" s="10"/>
      <c r="B88" s="5"/>
      <c r="C88" s="66"/>
      <c r="D88" s="67" t="s">
        <v>33</v>
      </c>
      <c r="E88" s="6"/>
      <c r="F88" s="6">
        <f>SUM(F81:F87)</f>
        <v>595</v>
      </c>
      <c r="G88" s="6">
        <f t="shared" ref="G88" si="49">SUM(G81:G87)</f>
        <v>29.4025</v>
      </c>
      <c r="H88" s="6">
        <f t="shared" ref="H88" si="50">SUM(H81:H87)</f>
        <v>33.16749999999999</v>
      </c>
      <c r="I88" s="6">
        <f t="shared" ref="I88" si="51">SUM(I81:I87)</f>
        <v>44.814999999999998</v>
      </c>
      <c r="J88" s="6">
        <f t="shared" ref="J88:L88" si="52">SUM(J81:J87)</f>
        <v>595.37749999999994</v>
      </c>
      <c r="K88" s="11"/>
      <c r="L88" s="6">
        <f t="shared" si="52"/>
        <v>59.010000000000005</v>
      </c>
    </row>
    <row r="89" spans="1:12" ht="14.4" x14ac:dyDescent="0.3">
      <c r="A89" s="12">
        <f>A81</f>
        <v>1</v>
      </c>
      <c r="B89" s="1">
        <f>B81</f>
        <v>5</v>
      </c>
      <c r="C89" s="68" t="s">
        <v>25</v>
      </c>
      <c r="D89" s="62" t="s">
        <v>26</v>
      </c>
      <c r="E89" s="72" t="s">
        <v>74</v>
      </c>
      <c r="F89" s="41">
        <v>60</v>
      </c>
      <c r="G89" s="45">
        <v>1.4333333333333333</v>
      </c>
      <c r="H89" s="45">
        <v>5.083333333333333</v>
      </c>
      <c r="I89" s="45">
        <v>8.5500000000000007</v>
      </c>
      <c r="J89" s="45">
        <v>85.683333333333337</v>
      </c>
      <c r="K89" s="44">
        <v>52</v>
      </c>
      <c r="L89" s="22">
        <v>1.65</v>
      </c>
    </row>
    <row r="90" spans="1:12" ht="14.4" x14ac:dyDescent="0.3">
      <c r="A90" s="9"/>
      <c r="B90" s="3"/>
      <c r="C90" s="61"/>
      <c r="D90" s="62" t="s">
        <v>27</v>
      </c>
      <c r="E90" s="74" t="s">
        <v>81</v>
      </c>
      <c r="F90" s="46" t="s">
        <v>83</v>
      </c>
      <c r="G90" s="45">
        <v>14.5</v>
      </c>
      <c r="H90" s="45">
        <v>15.4</v>
      </c>
      <c r="I90" s="45">
        <v>33.1</v>
      </c>
      <c r="J90" s="45">
        <v>329</v>
      </c>
      <c r="K90" s="43">
        <v>106</v>
      </c>
      <c r="L90" s="22">
        <v>27.4</v>
      </c>
    </row>
    <row r="91" spans="1:12" ht="14.4" x14ac:dyDescent="0.3">
      <c r="A91" s="9"/>
      <c r="B91" s="3"/>
      <c r="C91" s="61"/>
      <c r="D91" s="62" t="s">
        <v>28</v>
      </c>
      <c r="E91" s="75" t="s">
        <v>82</v>
      </c>
      <c r="F91" s="46">
        <v>100</v>
      </c>
      <c r="G91" s="45">
        <v>15.24</v>
      </c>
      <c r="H91" s="45">
        <v>5.8</v>
      </c>
      <c r="I91" s="45">
        <v>10.16</v>
      </c>
      <c r="J91" s="45">
        <v>153.80000000000001</v>
      </c>
      <c r="K91" s="43">
        <v>295</v>
      </c>
      <c r="L91" s="22">
        <f>(26*310+30*12+136)/160</f>
        <v>53.475000000000001</v>
      </c>
    </row>
    <row r="92" spans="1:12" ht="14.4" x14ac:dyDescent="0.3">
      <c r="A92" s="9"/>
      <c r="B92" s="3"/>
      <c r="C92" s="61"/>
      <c r="D92" s="62" t="s">
        <v>29</v>
      </c>
      <c r="E92" s="72" t="s">
        <v>79</v>
      </c>
      <c r="F92" s="41">
        <v>180</v>
      </c>
      <c r="G92" s="45">
        <v>3.3240000000000003</v>
      </c>
      <c r="H92" s="45">
        <v>5.8079999999999998</v>
      </c>
      <c r="I92" s="45">
        <v>12.936</v>
      </c>
      <c r="J92" s="45">
        <v>117.312</v>
      </c>
      <c r="K92" s="43">
        <v>139</v>
      </c>
      <c r="L92" s="22">
        <v>13.98</v>
      </c>
    </row>
    <row r="93" spans="1:12" ht="14.4" x14ac:dyDescent="0.3">
      <c r="A93" s="9"/>
      <c r="B93" s="3"/>
      <c r="C93" s="61"/>
      <c r="D93" s="62" t="s">
        <v>30</v>
      </c>
      <c r="E93" s="72" t="s">
        <v>80</v>
      </c>
      <c r="F93" s="41">
        <v>200</v>
      </c>
      <c r="G93" s="45">
        <v>0.1</v>
      </c>
      <c r="H93" s="45">
        <v>0.1</v>
      </c>
      <c r="I93" s="45">
        <v>15.36</v>
      </c>
      <c r="J93" s="45">
        <v>62.739999999999995</v>
      </c>
      <c r="K93" s="44">
        <v>345</v>
      </c>
      <c r="L93" s="22">
        <v>20.8</v>
      </c>
    </row>
    <row r="94" spans="1:12" ht="14.4" x14ac:dyDescent="0.3">
      <c r="A94" s="9"/>
      <c r="B94" s="3"/>
      <c r="C94" s="61"/>
      <c r="D94" s="62" t="s">
        <v>31</v>
      </c>
      <c r="E94" s="60" t="s">
        <v>43</v>
      </c>
      <c r="F94" s="41">
        <v>40</v>
      </c>
      <c r="G94" s="29">
        <v>2.64</v>
      </c>
      <c r="H94" s="29">
        <v>0.48</v>
      </c>
      <c r="I94" s="29">
        <v>13.680000000000001</v>
      </c>
      <c r="J94" s="29">
        <v>69.600000000000009</v>
      </c>
      <c r="K94" s="50" t="s">
        <v>44</v>
      </c>
      <c r="L94" s="22">
        <f>0.04*56</f>
        <v>2.2400000000000002</v>
      </c>
    </row>
    <row r="95" spans="1:12" ht="14.4" x14ac:dyDescent="0.3">
      <c r="A95" s="9"/>
      <c r="B95" s="3"/>
      <c r="C95" s="61"/>
      <c r="D95" s="62" t="s">
        <v>32</v>
      </c>
      <c r="E95" s="60" t="s">
        <v>49</v>
      </c>
      <c r="F95" s="41">
        <v>40</v>
      </c>
      <c r="G95" s="29">
        <v>2.0266666666666664</v>
      </c>
      <c r="H95" s="29">
        <v>0.21333333333333335</v>
      </c>
      <c r="I95" s="29">
        <v>13.120000000000001</v>
      </c>
      <c r="J95" s="29">
        <v>62.506666666666668</v>
      </c>
      <c r="K95" s="44" t="s">
        <v>44</v>
      </c>
      <c r="L95" s="22">
        <f>0.04*32</f>
        <v>1.28</v>
      </c>
    </row>
    <row r="96" spans="1:12" ht="14.4" x14ac:dyDescent="0.3">
      <c r="A96" s="9"/>
      <c r="B96" s="3"/>
      <c r="C96" s="61"/>
      <c r="D96" s="65"/>
      <c r="E96" s="22"/>
      <c r="F96" s="22"/>
      <c r="G96" s="22"/>
      <c r="H96" s="22"/>
      <c r="I96" s="22"/>
      <c r="J96" s="22"/>
      <c r="K96" s="23"/>
      <c r="L96" s="22"/>
    </row>
    <row r="97" spans="1:12" ht="14.4" x14ac:dyDescent="0.3">
      <c r="A97" s="9"/>
      <c r="B97" s="3"/>
      <c r="C97" s="61"/>
      <c r="D97" s="65"/>
      <c r="E97" s="22"/>
      <c r="F97" s="22"/>
      <c r="G97" s="22"/>
      <c r="H97" s="22"/>
      <c r="I97" s="22"/>
      <c r="J97" s="22"/>
      <c r="K97" s="23"/>
      <c r="L97" s="22"/>
    </row>
    <row r="98" spans="1:12" ht="14.4" x14ac:dyDescent="0.3">
      <c r="A98" s="10"/>
      <c r="B98" s="5"/>
      <c r="C98" s="66"/>
      <c r="D98" s="67" t="s">
        <v>33</v>
      </c>
      <c r="E98" s="6"/>
      <c r="F98" s="6">
        <f>SUM(F89:F97)</f>
        <v>620</v>
      </c>
      <c r="G98" s="6">
        <f t="shared" ref="G98" si="53">SUM(G89:G97)</f>
        <v>39.263999999999996</v>
      </c>
      <c r="H98" s="6">
        <f t="shared" ref="H98" si="54">SUM(H89:H97)</f>
        <v>32.884666666666668</v>
      </c>
      <c r="I98" s="6">
        <f t="shared" ref="I98" si="55">SUM(I89:I97)</f>
        <v>106.90600000000002</v>
      </c>
      <c r="J98" s="6">
        <f t="shared" ref="J98:L98" si="56">SUM(J89:J97)</f>
        <v>880.64200000000005</v>
      </c>
      <c r="K98" s="11"/>
      <c r="L98" s="6">
        <f t="shared" si="56"/>
        <v>120.825</v>
      </c>
    </row>
    <row r="99" spans="1:12" ht="15.75" customHeight="1" thickBot="1" x14ac:dyDescent="0.3">
      <c r="A99" s="13">
        <f>A81</f>
        <v>1</v>
      </c>
      <c r="B99" s="14">
        <f>B81</f>
        <v>5</v>
      </c>
      <c r="C99" s="84" t="s">
        <v>4</v>
      </c>
      <c r="D99" s="85"/>
      <c r="E99" s="15"/>
      <c r="F99" s="15">
        <f>F88+F98</f>
        <v>1215</v>
      </c>
      <c r="G99" s="15">
        <f t="shared" ref="G99" si="57">G88+G98</f>
        <v>68.666499999999999</v>
      </c>
      <c r="H99" s="15">
        <f t="shared" ref="H99" si="58">H88+H98</f>
        <v>66.052166666666665</v>
      </c>
      <c r="I99" s="15">
        <f t="shared" ref="I99" si="59">I88+I98</f>
        <v>151.721</v>
      </c>
      <c r="J99" s="15">
        <f t="shared" ref="J99:L99" si="60">J88+J98</f>
        <v>1476.0194999999999</v>
      </c>
      <c r="K99" s="15"/>
      <c r="L99" s="15">
        <f t="shared" si="60"/>
        <v>179.83500000000001</v>
      </c>
    </row>
    <row r="100" spans="1:12" ht="14.4" x14ac:dyDescent="0.3">
      <c r="A100" s="7">
        <v>2</v>
      </c>
      <c r="B100" s="8">
        <v>1</v>
      </c>
      <c r="C100" s="58" t="s">
        <v>20</v>
      </c>
      <c r="D100" s="59" t="s">
        <v>21</v>
      </c>
      <c r="E100" s="72" t="s">
        <v>78</v>
      </c>
      <c r="F100" s="20">
        <v>180</v>
      </c>
      <c r="G100" s="20">
        <v>20.362500000000001</v>
      </c>
      <c r="H100" s="20">
        <v>23.737500000000001</v>
      </c>
      <c r="I100" s="20">
        <v>6.3</v>
      </c>
      <c r="J100" s="20">
        <v>320.28750000000002</v>
      </c>
      <c r="K100" s="21">
        <v>210</v>
      </c>
      <c r="L100" s="20">
        <v>29.37</v>
      </c>
    </row>
    <row r="101" spans="1:12" ht="14.4" x14ac:dyDescent="0.3">
      <c r="A101" s="9"/>
      <c r="B101" s="3"/>
      <c r="C101" s="61"/>
      <c r="D101" s="64" t="s">
        <v>26</v>
      </c>
      <c r="E101" s="60" t="s">
        <v>40</v>
      </c>
      <c r="F101" s="30">
        <v>25</v>
      </c>
      <c r="G101" s="29">
        <f>2.32*F101/10</f>
        <v>5.7999999999999989</v>
      </c>
      <c r="H101" s="29">
        <f>3.4*F101/10</f>
        <v>8.5</v>
      </c>
      <c r="I101" s="29">
        <f>0.01*F101/10</f>
        <v>2.5000000000000001E-2</v>
      </c>
      <c r="J101" s="29">
        <f>G101*4+H101*9+I101*4</f>
        <v>99.799999999999983</v>
      </c>
      <c r="K101" s="32">
        <v>15</v>
      </c>
      <c r="L101" s="22">
        <f>590*0.03</f>
        <v>17.7</v>
      </c>
    </row>
    <row r="102" spans="1:12" ht="14.4" x14ac:dyDescent="0.3">
      <c r="A102" s="2"/>
      <c r="B102" s="3"/>
      <c r="C102" s="61"/>
      <c r="D102" s="62" t="s">
        <v>22</v>
      </c>
      <c r="E102" s="22" t="s">
        <v>55</v>
      </c>
      <c r="F102" s="30">
        <v>200</v>
      </c>
      <c r="G102" s="29">
        <v>0.2</v>
      </c>
      <c r="H102" s="29">
        <v>0.05</v>
      </c>
      <c r="I102" s="29">
        <v>15.01</v>
      </c>
      <c r="J102" s="29">
        <f>G102*4+H102*9+I102*4</f>
        <v>61.29</v>
      </c>
      <c r="K102" s="33">
        <v>376</v>
      </c>
      <c r="L102" s="22">
        <v>1.7</v>
      </c>
    </row>
    <row r="103" spans="1:12" ht="14.4" x14ac:dyDescent="0.3">
      <c r="A103" s="9"/>
      <c r="B103" s="3"/>
      <c r="C103" s="61"/>
      <c r="D103" s="62" t="s">
        <v>31</v>
      </c>
      <c r="E103" s="60" t="s">
        <v>43</v>
      </c>
      <c r="F103" s="41">
        <v>40</v>
      </c>
      <c r="G103" s="29">
        <v>2.64</v>
      </c>
      <c r="H103" s="29">
        <v>0.48</v>
      </c>
      <c r="I103" s="29">
        <v>13.680000000000001</v>
      </c>
      <c r="J103" s="29">
        <v>69.600000000000009</v>
      </c>
      <c r="K103" s="50" t="s">
        <v>44</v>
      </c>
      <c r="L103" s="22">
        <f>0.04*56</f>
        <v>2.2400000000000002</v>
      </c>
    </row>
    <row r="104" spans="1:12" ht="14.4" x14ac:dyDescent="0.3">
      <c r="A104" s="9"/>
      <c r="B104" s="3"/>
      <c r="C104" s="61"/>
      <c r="D104" s="62" t="s">
        <v>24</v>
      </c>
      <c r="E104" s="63" t="s">
        <v>39</v>
      </c>
      <c r="F104" s="22">
        <v>150</v>
      </c>
      <c r="G104" s="29">
        <v>0.4</v>
      </c>
      <c r="H104" s="29">
        <v>0.4</v>
      </c>
      <c r="I104" s="29">
        <v>9.8000000000000007</v>
      </c>
      <c r="J104" s="29">
        <f>G104*4+H104*9+I104*4</f>
        <v>44.400000000000006</v>
      </c>
      <c r="K104" s="34">
        <v>338</v>
      </c>
      <c r="L104" s="22">
        <v>8</v>
      </c>
    </row>
    <row r="105" spans="1:12" ht="14.4" x14ac:dyDescent="0.3">
      <c r="A105" s="9"/>
      <c r="B105" s="3"/>
      <c r="C105" s="61"/>
      <c r="D105" s="65"/>
      <c r="E105" s="22"/>
      <c r="F105" s="22"/>
      <c r="G105" s="22"/>
      <c r="H105" s="22"/>
      <c r="I105" s="22"/>
      <c r="J105" s="22"/>
      <c r="K105" s="23"/>
      <c r="L105" s="22"/>
    </row>
    <row r="106" spans="1:12" ht="14.4" x14ac:dyDescent="0.3">
      <c r="A106" s="9"/>
      <c r="B106" s="3"/>
      <c r="C106" s="61"/>
      <c r="D106" s="65"/>
      <c r="E106" s="22"/>
      <c r="F106" s="22"/>
      <c r="G106" s="22"/>
      <c r="H106" s="22"/>
      <c r="I106" s="22"/>
      <c r="J106" s="22"/>
      <c r="K106" s="23"/>
      <c r="L106" s="22"/>
    </row>
    <row r="107" spans="1:12" ht="14.4" x14ac:dyDescent="0.3">
      <c r="A107" s="10"/>
      <c r="B107" s="5"/>
      <c r="C107" s="66"/>
      <c r="D107" s="67" t="s">
        <v>33</v>
      </c>
      <c r="E107" s="6"/>
      <c r="F107" s="6">
        <f>SUM(F100:F106)</f>
        <v>595</v>
      </c>
      <c r="G107" s="6">
        <f t="shared" ref="G107:J107" si="61">SUM(G100:G106)</f>
        <v>29.4025</v>
      </c>
      <c r="H107" s="6">
        <f t="shared" si="61"/>
        <v>33.16749999999999</v>
      </c>
      <c r="I107" s="6">
        <f t="shared" si="61"/>
        <v>44.814999999999998</v>
      </c>
      <c r="J107" s="6">
        <f t="shared" si="61"/>
        <v>595.37749999999994</v>
      </c>
      <c r="K107" s="11"/>
      <c r="L107" s="6">
        <f t="shared" ref="L107" si="62">SUM(L100:L106)</f>
        <v>59.010000000000005</v>
      </c>
    </row>
    <row r="108" spans="1:12" ht="14.4" x14ac:dyDescent="0.3">
      <c r="A108" s="12">
        <f>A100</f>
        <v>2</v>
      </c>
      <c r="B108" s="1">
        <f>B100</f>
        <v>1</v>
      </c>
      <c r="C108" s="68" t="s">
        <v>25</v>
      </c>
      <c r="D108" s="62" t="s">
        <v>26</v>
      </c>
      <c r="E108" s="69" t="s">
        <v>56</v>
      </c>
      <c r="F108" s="30">
        <v>100</v>
      </c>
      <c r="G108" s="29">
        <f>0.3*F108/60</f>
        <v>0.5</v>
      </c>
      <c r="H108" s="29">
        <f>2*F108/60</f>
        <v>3.3333333333333335</v>
      </c>
      <c r="I108" s="29">
        <f>1.6*F108/60</f>
        <v>2.6666666666666665</v>
      </c>
      <c r="J108" s="29">
        <f t="shared" ref="J108" si="63">G108*4+H108*9+I108*4</f>
        <v>42.666666666666664</v>
      </c>
      <c r="K108" s="33">
        <v>24</v>
      </c>
      <c r="L108" s="22">
        <v>10.8</v>
      </c>
    </row>
    <row r="109" spans="1:12" ht="14.4" x14ac:dyDescent="0.3">
      <c r="A109" s="9"/>
      <c r="B109" s="3"/>
      <c r="C109" s="61"/>
      <c r="D109" s="62" t="s">
        <v>27</v>
      </c>
      <c r="E109" s="72" t="s">
        <v>84</v>
      </c>
      <c r="F109" s="46">
        <v>250</v>
      </c>
      <c r="G109" s="48">
        <f>1.77*F109/200</f>
        <v>2.2124999999999999</v>
      </c>
      <c r="H109" s="48">
        <f>2.65*F109/200</f>
        <v>3.3125</v>
      </c>
      <c r="I109" s="48">
        <f>12.74*F109/200</f>
        <v>15.925000000000001</v>
      </c>
      <c r="J109" s="48">
        <f t="shared" ref="J109" si="64">G109*4+H109*9+I109*4</f>
        <v>102.36250000000001</v>
      </c>
      <c r="K109" s="43">
        <v>84</v>
      </c>
      <c r="L109" s="22">
        <v>8.9</v>
      </c>
    </row>
    <row r="110" spans="1:12" ht="20.399999999999999" x14ac:dyDescent="0.3">
      <c r="A110" s="9"/>
      <c r="B110" s="3"/>
      <c r="C110" s="61"/>
      <c r="D110" s="62" t="s">
        <v>28</v>
      </c>
      <c r="E110" s="60" t="s">
        <v>46</v>
      </c>
      <c r="F110" s="30">
        <v>90</v>
      </c>
      <c r="G110" s="29">
        <f>13.46*F110/80</f>
        <v>15.142500000000002</v>
      </c>
      <c r="H110" s="36">
        <f>10.86*F110/80</f>
        <v>12.217499999999999</v>
      </c>
      <c r="I110" s="36">
        <f>5.34*F110/80</f>
        <v>6.0074999999999994</v>
      </c>
      <c r="J110" s="29">
        <f>G110*4+H110*9+I110*4</f>
        <v>194.5575</v>
      </c>
      <c r="K110" s="33">
        <v>268</v>
      </c>
      <c r="L110" s="22">
        <v>45.89</v>
      </c>
    </row>
    <row r="111" spans="1:12" ht="14.4" x14ac:dyDescent="0.3">
      <c r="A111" s="9"/>
      <c r="B111" s="3"/>
      <c r="C111" s="61"/>
      <c r="D111" s="62" t="s">
        <v>29</v>
      </c>
      <c r="E111" s="60" t="s">
        <v>47</v>
      </c>
      <c r="F111" s="30">
        <v>180</v>
      </c>
      <c r="G111" s="29">
        <f>5.7*F111/150</f>
        <v>6.84</v>
      </c>
      <c r="H111" s="29">
        <f>3.43*F111/150</f>
        <v>4.1159999999999997</v>
      </c>
      <c r="I111" s="29">
        <f>36.45*F111/150</f>
        <v>43.740000000000009</v>
      </c>
      <c r="J111" s="29">
        <f t="shared" ref="J111:J112" si="65">G111*4+H111*9+I111*4</f>
        <v>239.36400000000003</v>
      </c>
      <c r="K111" s="33">
        <v>203</v>
      </c>
      <c r="L111" s="22">
        <v>4.41</v>
      </c>
    </row>
    <row r="112" spans="1:12" ht="14.4" x14ac:dyDescent="0.3">
      <c r="A112" s="9"/>
      <c r="B112" s="3"/>
      <c r="C112" s="61"/>
      <c r="D112" s="62" t="s">
        <v>30</v>
      </c>
      <c r="E112" s="63" t="s">
        <v>85</v>
      </c>
      <c r="F112" s="30" t="s">
        <v>50</v>
      </c>
      <c r="G112" s="29">
        <v>0.26</v>
      </c>
      <c r="H112" s="29">
        <v>0.06</v>
      </c>
      <c r="I112" s="29">
        <v>15.22</v>
      </c>
      <c r="J112" s="29">
        <f t="shared" si="65"/>
        <v>62.46</v>
      </c>
      <c r="K112" s="33">
        <v>377</v>
      </c>
      <c r="L112" s="22">
        <v>6.01</v>
      </c>
    </row>
    <row r="113" spans="1:12" ht="14.4" x14ac:dyDescent="0.3">
      <c r="A113" s="9"/>
      <c r="B113" s="3"/>
      <c r="C113" s="61"/>
      <c r="D113" s="62" t="s">
        <v>31</v>
      </c>
      <c r="E113" s="60" t="s">
        <v>43</v>
      </c>
      <c r="F113" s="30">
        <v>40</v>
      </c>
      <c r="G113" s="29">
        <f>1.52*F113/30</f>
        <v>2.0266666666666664</v>
      </c>
      <c r="H113" s="31">
        <f>0.16*F113/30</f>
        <v>0.21333333333333335</v>
      </c>
      <c r="I113" s="31">
        <f>9.84*F113/30</f>
        <v>13.120000000000001</v>
      </c>
      <c r="J113" s="31">
        <f>G113*4+H113*9+I113*4</f>
        <v>62.506666666666668</v>
      </c>
      <c r="K113" s="33" t="s">
        <v>61</v>
      </c>
      <c r="L113" s="22">
        <f>0.04*56</f>
        <v>2.2400000000000002</v>
      </c>
    </row>
    <row r="114" spans="1:12" ht="14.4" x14ac:dyDescent="0.3">
      <c r="A114" s="9"/>
      <c r="B114" s="3"/>
      <c r="C114" s="61"/>
      <c r="D114" s="62" t="s">
        <v>32</v>
      </c>
      <c r="E114" s="60" t="s">
        <v>49</v>
      </c>
      <c r="F114" s="30">
        <v>40</v>
      </c>
      <c r="G114" s="29">
        <f>2.64*F114/40</f>
        <v>2.64</v>
      </c>
      <c r="H114" s="29">
        <f>0.48*F114/40</f>
        <v>0.48</v>
      </c>
      <c r="I114" s="29">
        <f>13.68*F114/40</f>
        <v>13.680000000000001</v>
      </c>
      <c r="J114" s="29">
        <f t="shared" ref="J114" si="66">G114*4+H114*9+I114*4</f>
        <v>69.600000000000009</v>
      </c>
      <c r="K114" s="34" t="s">
        <v>44</v>
      </c>
      <c r="L114" s="22">
        <f>0.04*32</f>
        <v>1.28</v>
      </c>
    </row>
    <row r="115" spans="1:12" ht="14.4" x14ac:dyDescent="0.3">
      <c r="A115" s="9"/>
      <c r="B115" s="3"/>
      <c r="C115" s="61"/>
      <c r="D115" s="65"/>
      <c r="E115" s="22"/>
      <c r="F115" s="22"/>
      <c r="G115" s="22"/>
      <c r="H115" s="22"/>
      <c r="I115" s="22"/>
      <c r="J115" s="22"/>
      <c r="K115" s="23"/>
      <c r="L115" s="22"/>
    </row>
    <row r="116" spans="1:12" ht="14.4" x14ac:dyDescent="0.3">
      <c r="A116" s="9"/>
      <c r="B116" s="3"/>
      <c r="C116" s="61"/>
      <c r="D116" s="65"/>
      <c r="E116" s="22"/>
      <c r="F116" s="22"/>
      <c r="G116" s="22"/>
      <c r="H116" s="22"/>
      <c r="I116" s="22"/>
      <c r="J116" s="22"/>
      <c r="K116" s="23"/>
      <c r="L116" s="22"/>
    </row>
    <row r="117" spans="1:12" ht="14.4" x14ac:dyDescent="0.3">
      <c r="A117" s="10"/>
      <c r="B117" s="5"/>
      <c r="C117" s="66"/>
      <c r="D117" s="67" t="s">
        <v>33</v>
      </c>
      <c r="E117" s="6"/>
      <c r="F117" s="6">
        <f>SUM(F108:F116)</f>
        <v>700</v>
      </c>
      <c r="G117" s="6">
        <f t="shared" ref="G117:J117" si="67">SUM(G108:G116)</f>
        <v>29.62166666666667</v>
      </c>
      <c r="H117" s="6">
        <f t="shared" si="67"/>
        <v>23.732666666666667</v>
      </c>
      <c r="I117" s="6">
        <f t="shared" si="67"/>
        <v>110.35916666666668</v>
      </c>
      <c r="J117" s="6">
        <f t="shared" si="67"/>
        <v>773.51733333333345</v>
      </c>
      <c r="K117" s="11"/>
      <c r="L117" s="6">
        <f t="shared" ref="L117" si="68">SUM(L108:L116)</f>
        <v>79.53</v>
      </c>
    </row>
    <row r="118" spans="1:12" ht="15" thickBot="1" x14ac:dyDescent="0.3">
      <c r="A118" s="13">
        <f>A100</f>
        <v>2</v>
      </c>
      <c r="B118" s="14">
        <f>B100</f>
        <v>1</v>
      </c>
      <c r="C118" s="84" t="s">
        <v>4</v>
      </c>
      <c r="D118" s="85"/>
      <c r="E118" s="15"/>
      <c r="F118" s="39">
        <f>F107+F117</f>
        <v>1295</v>
      </c>
      <c r="G118" s="15">
        <f t="shared" ref="G118" si="69">G107+G117</f>
        <v>59.024166666666673</v>
      </c>
      <c r="H118" s="15">
        <f t="shared" ref="H118" si="70">H107+H117</f>
        <v>56.900166666666657</v>
      </c>
      <c r="I118" s="15">
        <f t="shared" ref="I118" si="71">I107+I117</f>
        <v>155.17416666666668</v>
      </c>
      <c r="J118" s="15">
        <f t="shared" ref="J118:L118" si="72">J107+J117</f>
        <v>1368.8948333333333</v>
      </c>
      <c r="K118" s="15"/>
      <c r="L118" s="15">
        <f t="shared" si="72"/>
        <v>138.54000000000002</v>
      </c>
    </row>
    <row r="119" spans="1:12" ht="14.4" x14ac:dyDescent="0.3">
      <c r="A119" s="2">
        <v>2</v>
      </c>
      <c r="B119" s="3">
        <v>2</v>
      </c>
      <c r="C119" s="58" t="s">
        <v>20</v>
      </c>
      <c r="D119" s="59" t="s">
        <v>21</v>
      </c>
      <c r="E119" s="72" t="s">
        <v>87</v>
      </c>
      <c r="F119" s="76">
        <v>100</v>
      </c>
      <c r="G119" s="52">
        <v>12.0875</v>
      </c>
      <c r="H119" s="52">
        <v>12.725</v>
      </c>
      <c r="I119" s="52">
        <v>11.425000000000001</v>
      </c>
      <c r="J119" s="52">
        <v>208.57499999999999</v>
      </c>
      <c r="K119" s="43">
        <v>280</v>
      </c>
      <c r="L119" s="20">
        <v>31</v>
      </c>
    </row>
    <row r="120" spans="1:12" ht="14.4" x14ac:dyDescent="0.3">
      <c r="A120" s="2"/>
      <c r="B120" s="3"/>
      <c r="C120" s="61"/>
      <c r="D120" s="65" t="s">
        <v>29</v>
      </c>
      <c r="E120" s="72" t="s">
        <v>86</v>
      </c>
      <c r="F120" s="76">
        <v>180</v>
      </c>
      <c r="G120" s="45">
        <v>4.1399999999999997</v>
      </c>
      <c r="H120" s="45">
        <v>5.94</v>
      </c>
      <c r="I120" s="45">
        <v>30.215999999999998</v>
      </c>
      <c r="J120" s="45">
        <v>190.88399999999999</v>
      </c>
      <c r="K120" s="43">
        <v>175</v>
      </c>
      <c r="L120" s="22">
        <f>1224/160</f>
        <v>7.65</v>
      </c>
    </row>
    <row r="121" spans="1:12" ht="14.4" x14ac:dyDescent="0.3">
      <c r="A121" s="2"/>
      <c r="B121" s="3"/>
      <c r="C121" s="61"/>
      <c r="D121" s="62" t="s">
        <v>22</v>
      </c>
      <c r="E121" s="22" t="s">
        <v>55</v>
      </c>
      <c r="F121" s="29">
        <v>200</v>
      </c>
      <c r="G121" s="29">
        <v>0.2</v>
      </c>
      <c r="H121" s="29">
        <v>0.05</v>
      </c>
      <c r="I121" s="29">
        <v>15.01</v>
      </c>
      <c r="J121" s="29">
        <f>G121*4+H121*9+I121*4</f>
        <v>61.29</v>
      </c>
      <c r="K121" s="33">
        <v>376</v>
      </c>
      <c r="L121" s="22">
        <v>1.7</v>
      </c>
    </row>
    <row r="122" spans="1:12" ht="14.4" x14ac:dyDescent="0.3">
      <c r="A122" s="2"/>
      <c r="B122" s="3"/>
      <c r="C122" s="61"/>
      <c r="D122" s="62" t="s">
        <v>23</v>
      </c>
      <c r="E122" s="60" t="s">
        <v>43</v>
      </c>
      <c r="F122" s="29">
        <v>40</v>
      </c>
      <c r="G122" s="29">
        <f>1.52*F122/30</f>
        <v>2.0266666666666664</v>
      </c>
      <c r="H122" s="29">
        <f>0.16*F122/30</f>
        <v>0.21333333333333335</v>
      </c>
      <c r="I122" s="29">
        <f>9.84*F122/30</f>
        <v>13.120000000000001</v>
      </c>
      <c r="J122" s="29">
        <f>G122*4+H122*9+I122*4</f>
        <v>62.506666666666668</v>
      </c>
      <c r="K122" s="33" t="s">
        <v>61</v>
      </c>
      <c r="L122" s="22">
        <f>0.04*56</f>
        <v>2.2400000000000002</v>
      </c>
    </row>
    <row r="123" spans="1:12" ht="14.4" x14ac:dyDescent="0.3">
      <c r="A123" s="2"/>
      <c r="B123" s="3"/>
      <c r="C123" s="61"/>
      <c r="D123" s="62" t="s">
        <v>24</v>
      </c>
      <c r="E123" s="63" t="s">
        <v>39</v>
      </c>
      <c r="F123" s="45">
        <v>150</v>
      </c>
      <c r="G123" s="29">
        <v>0.4</v>
      </c>
      <c r="H123" s="29">
        <v>0.4</v>
      </c>
      <c r="I123" s="29">
        <v>9.8000000000000007</v>
      </c>
      <c r="J123" s="29">
        <f>G123*4+H123*9+I123*4</f>
        <v>44.400000000000006</v>
      </c>
      <c r="K123" s="34">
        <v>338</v>
      </c>
      <c r="L123" s="22">
        <v>8</v>
      </c>
    </row>
    <row r="124" spans="1:12" ht="14.4" x14ac:dyDescent="0.3">
      <c r="A124" s="2"/>
      <c r="B124" s="3"/>
      <c r="C124" s="61"/>
      <c r="D124" s="65"/>
      <c r="E124" s="22"/>
      <c r="F124" s="45"/>
      <c r="G124" s="45"/>
      <c r="H124" s="45"/>
      <c r="I124" s="45"/>
      <c r="J124" s="45"/>
      <c r="K124" s="23"/>
      <c r="L124" s="22"/>
    </row>
    <row r="125" spans="1:12" ht="14.4" x14ac:dyDescent="0.3">
      <c r="A125" s="2"/>
      <c r="B125" s="3"/>
      <c r="C125" s="61"/>
      <c r="D125" s="65"/>
      <c r="E125" s="22"/>
      <c r="F125" s="45"/>
      <c r="G125" s="45"/>
      <c r="H125" s="45"/>
      <c r="I125" s="45"/>
      <c r="J125" s="45"/>
      <c r="K125" s="23"/>
      <c r="L125" s="22"/>
    </row>
    <row r="126" spans="1:12" ht="14.4" x14ac:dyDescent="0.3">
      <c r="A126" s="4"/>
      <c r="B126" s="5"/>
      <c r="C126" s="66"/>
      <c r="D126" s="67" t="s">
        <v>33</v>
      </c>
      <c r="E126" s="6"/>
      <c r="F126" s="47">
        <f>SUM(F119:F125)</f>
        <v>670</v>
      </c>
      <c r="G126" s="47">
        <f t="shared" ref="G126:J126" si="73">SUM(G119:G125)</f>
        <v>18.854166666666664</v>
      </c>
      <c r="H126" s="47">
        <f t="shared" si="73"/>
        <v>19.328333333333333</v>
      </c>
      <c r="I126" s="47">
        <f t="shared" si="73"/>
        <v>79.570999999999998</v>
      </c>
      <c r="J126" s="47">
        <f t="shared" si="73"/>
        <v>567.65566666666666</v>
      </c>
      <c r="K126" s="11"/>
      <c r="L126" s="6">
        <f t="shared" ref="L126" si="74">SUM(L119:L125)</f>
        <v>50.59</v>
      </c>
    </row>
    <row r="127" spans="1:12" ht="14.4" x14ac:dyDescent="0.3">
      <c r="A127" s="1">
        <f>A119</f>
        <v>2</v>
      </c>
      <c r="B127" s="1">
        <f>B119</f>
        <v>2</v>
      </c>
      <c r="C127" s="68" t="s">
        <v>25</v>
      </c>
      <c r="D127" s="62" t="s">
        <v>26</v>
      </c>
      <c r="E127" s="69" t="s">
        <v>89</v>
      </c>
      <c r="F127" s="30">
        <v>100</v>
      </c>
      <c r="G127" s="29">
        <f>0.3*F127/60</f>
        <v>0.5</v>
      </c>
      <c r="H127" s="29">
        <f>2*F127/60</f>
        <v>3.3333333333333335</v>
      </c>
      <c r="I127" s="29">
        <f>1.6*F127/60</f>
        <v>2.6666666666666665</v>
      </c>
      <c r="J127" s="29">
        <f t="shared" ref="J127" si="75">G127*4+H127*9+I127*4</f>
        <v>42.666666666666664</v>
      </c>
      <c r="K127" s="33">
        <v>24</v>
      </c>
      <c r="L127" s="22">
        <v>10.8</v>
      </c>
    </row>
    <row r="128" spans="1:12" ht="14.4" x14ac:dyDescent="0.3">
      <c r="A128" s="2"/>
      <c r="B128" s="3"/>
      <c r="C128" s="61"/>
      <c r="D128" s="62" t="s">
        <v>27</v>
      </c>
      <c r="E128" s="72" t="s">
        <v>75</v>
      </c>
      <c r="F128" s="46" t="s">
        <v>59</v>
      </c>
      <c r="G128" s="78">
        <v>8.7100000000000009</v>
      </c>
      <c r="H128" s="22">
        <v>8.77</v>
      </c>
      <c r="I128" s="22">
        <v>23.67</v>
      </c>
      <c r="J128" s="22">
        <v>208.45</v>
      </c>
      <c r="K128" s="43">
        <v>113</v>
      </c>
      <c r="L128" s="22">
        <v>8.6</v>
      </c>
    </row>
    <row r="129" spans="1:12" ht="14.4" x14ac:dyDescent="0.3">
      <c r="A129" s="2"/>
      <c r="B129" s="3"/>
      <c r="C129" s="61"/>
      <c r="D129" s="62" t="s">
        <v>28</v>
      </c>
      <c r="E129" s="72" t="s">
        <v>88</v>
      </c>
      <c r="F129" s="41">
        <v>100</v>
      </c>
      <c r="G129" s="78">
        <v>21.124999999999996</v>
      </c>
      <c r="H129" s="22">
        <v>12.074999999999999</v>
      </c>
      <c r="I129" s="22">
        <v>0.1875</v>
      </c>
      <c r="J129" s="22">
        <v>193.92499999999998</v>
      </c>
      <c r="K129" s="43">
        <v>293</v>
      </c>
      <c r="L129" s="22">
        <f>27.5</f>
        <v>27.5</v>
      </c>
    </row>
    <row r="130" spans="1:12" ht="14.4" x14ac:dyDescent="0.3">
      <c r="A130" s="2"/>
      <c r="B130" s="3"/>
      <c r="C130" s="61"/>
      <c r="D130" s="62" t="s">
        <v>29</v>
      </c>
      <c r="E130" s="72" t="s">
        <v>79</v>
      </c>
      <c r="F130" s="41">
        <v>180</v>
      </c>
      <c r="G130" s="78">
        <v>3.3240000000000003</v>
      </c>
      <c r="H130" s="22">
        <v>5.8079999999999998</v>
      </c>
      <c r="I130" s="22">
        <v>12.936</v>
      </c>
      <c r="J130" s="22">
        <v>117.312</v>
      </c>
      <c r="K130" s="43">
        <v>139</v>
      </c>
      <c r="L130" s="22">
        <v>11.74</v>
      </c>
    </row>
    <row r="131" spans="1:12" ht="14.4" x14ac:dyDescent="0.3">
      <c r="A131" s="2"/>
      <c r="B131" s="3"/>
      <c r="C131" s="61"/>
      <c r="D131" s="62" t="s">
        <v>30</v>
      </c>
      <c r="E131" s="63" t="s">
        <v>85</v>
      </c>
      <c r="F131" s="30" t="s">
        <v>50</v>
      </c>
      <c r="G131" s="29">
        <v>0.26</v>
      </c>
      <c r="H131" s="29">
        <v>0.06</v>
      </c>
      <c r="I131" s="29">
        <v>15.22</v>
      </c>
      <c r="J131" s="29">
        <f t="shared" ref="J131" si="76">G131*4+H131*9+I131*4</f>
        <v>62.46</v>
      </c>
      <c r="K131" s="33">
        <v>377</v>
      </c>
      <c r="L131" s="22">
        <v>6.01</v>
      </c>
    </row>
    <row r="132" spans="1:12" ht="14.4" x14ac:dyDescent="0.3">
      <c r="A132" s="2"/>
      <c r="B132" s="3"/>
      <c r="C132" s="61"/>
      <c r="D132" s="62" t="s">
        <v>31</v>
      </c>
      <c r="E132" s="60" t="s">
        <v>43</v>
      </c>
      <c r="F132" s="30">
        <v>40</v>
      </c>
      <c r="G132" s="29">
        <f>1.52*F132/30</f>
        <v>2.0266666666666664</v>
      </c>
      <c r="H132" s="31">
        <f>0.16*F132/30</f>
        <v>0.21333333333333335</v>
      </c>
      <c r="I132" s="31">
        <f>9.84*F132/30</f>
        <v>13.120000000000001</v>
      </c>
      <c r="J132" s="31">
        <f>G132*4+H132*9+I132*4</f>
        <v>62.506666666666668</v>
      </c>
      <c r="K132" s="33" t="s">
        <v>61</v>
      </c>
      <c r="L132" s="22">
        <f>0.04*56</f>
        <v>2.2400000000000002</v>
      </c>
    </row>
    <row r="133" spans="1:12" ht="14.4" x14ac:dyDescent="0.3">
      <c r="A133" s="2"/>
      <c r="B133" s="3"/>
      <c r="C133" s="61"/>
      <c r="D133" s="62" t="s">
        <v>32</v>
      </c>
      <c r="E133" s="60" t="s">
        <v>49</v>
      </c>
      <c r="F133" s="30">
        <v>40</v>
      </c>
      <c r="G133" s="29">
        <f>2.64*F133/40</f>
        <v>2.64</v>
      </c>
      <c r="H133" s="29">
        <f>0.48*F133/40</f>
        <v>0.48</v>
      </c>
      <c r="I133" s="29">
        <f>13.68*F133/40</f>
        <v>13.680000000000001</v>
      </c>
      <c r="J133" s="29">
        <f t="shared" ref="J133" si="77">G133*4+H133*9+I133*4</f>
        <v>69.600000000000009</v>
      </c>
      <c r="K133" s="34" t="s">
        <v>44</v>
      </c>
      <c r="L133" s="22">
        <f>0.04*32</f>
        <v>1.28</v>
      </c>
    </row>
    <row r="134" spans="1:12" ht="14.4" x14ac:dyDescent="0.3">
      <c r="A134" s="2"/>
      <c r="B134" s="3"/>
      <c r="C134" s="61"/>
      <c r="D134" s="65"/>
      <c r="E134" s="22"/>
      <c r="F134" s="22"/>
      <c r="G134" s="22"/>
      <c r="H134" s="22"/>
      <c r="I134" s="22"/>
      <c r="J134" s="22"/>
      <c r="K134" s="23"/>
      <c r="L134" s="22"/>
    </row>
    <row r="135" spans="1:12" ht="14.4" x14ac:dyDescent="0.3">
      <c r="A135" s="2"/>
      <c r="B135" s="3"/>
      <c r="C135" s="61"/>
      <c r="D135" s="65"/>
      <c r="E135" s="22"/>
      <c r="F135" s="22"/>
      <c r="G135" s="22"/>
      <c r="H135" s="22"/>
      <c r="I135" s="22"/>
      <c r="J135" s="22"/>
      <c r="K135" s="23"/>
      <c r="L135" s="22"/>
    </row>
    <row r="136" spans="1:12" ht="14.4" x14ac:dyDescent="0.3">
      <c r="A136" s="4"/>
      <c r="B136" s="5"/>
      <c r="C136" s="66"/>
      <c r="D136" s="67" t="s">
        <v>33</v>
      </c>
      <c r="E136" s="6"/>
      <c r="F136" s="6">
        <f>SUM(F127:F135)</f>
        <v>460</v>
      </c>
      <c r="G136" s="6">
        <f t="shared" ref="G136:J136" si="78">SUM(G127:G135)</f>
        <v>38.585666666666661</v>
      </c>
      <c r="H136" s="6">
        <f t="shared" si="78"/>
        <v>30.739666666666668</v>
      </c>
      <c r="I136" s="6">
        <f t="shared" si="78"/>
        <v>81.480166666666676</v>
      </c>
      <c r="J136" s="6">
        <f t="shared" si="78"/>
        <v>756.92033333333336</v>
      </c>
      <c r="K136" s="11"/>
      <c r="L136" s="6">
        <f t="shared" ref="L136" si="79">SUM(L127:L135)</f>
        <v>68.17</v>
      </c>
    </row>
    <row r="137" spans="1:12" ht="15" thickBot="1" x14ac:dyDescent="0.3">
      <c r="A137" s="16">
        <f>A119</f>
        <v>2</v>
      </c>
      <c r="B137" s="16">
        <f>B119</f>
        <v>2</v>
      </c>
      <c r="C137" s="84" t="s">
        <v>4</v>
      </c>
      <c r="D137" s="85"/>
      <c r="E137" s="15"/>
      <c r="F137" s="15">
        <f>F126+F136</f>
        <v>1130</v>
      </c>
      <c r="G137" s="15">
        <f t="shared" ref="G137" si="80">G126+G136</f>
        <v>57.439833333333326</v>
      </c>
      <c r="H137" s="15">
        <f t="shared" ref="H137" si="81">H126+H136</f>
        <v>50.067999999999998</v>
      </c>
      <c r="I137" s="15">
        <f t="shared" ref="I137" si="82">I126+I136</f>
        <v>161.05116666666669</v>
      </c>
      <c r="J137" s="15">
        <f t="shared" ref="J137:L137" si="83">J126+J136</f>
        <v>1324.576</v>
      </c>
      <c r="K137" s="15"/>
      <c r="L137" s="15">
        <f t="shared" si="83"/>
        <v>118.76</v>
      </c>
    </row>
    <row r="138" spans="1:12" ht="14.4" x14ac:dyDescent="0.3">
      <c r="A138" s="7">
        <v>2</v>
      </c>
      <c r="B138" s="8">
        <v>3</v>
      </c>
      <c r="C138" s="58" t="s">
        <v>20</v>
      </c>
      <c r="D138" s="59" t="s">
        <v>21</v>
      </c>
      <c r="E138" s="72" t="s">
        <v>92</v>
      </c>
      <c r="F138" s="20">
        <v>200</v>
      </c>
      <c r="G138" s="52">
        <v>17.91764705882353</v>
      </c>
      <c r="H138" s="52">
        <v>20.564705882352943</v>
      </c>
      <c r="I138" s="52">
        <v>43.188235294117646</v>
      </c>
      <c r="J138" s="52">
        <v>429.50588235294117</v>
      </c>
      <c r="K138" s="21">
        <v>223</v>
      </c>
      <c r="L138" s="20">
        <v>36.5</v>
      </c>
    </row>
    <row r="139" spans="1:12" ht="14.4" x14ac:dyDescent="0.3">
      <c r="A139" s="9"/>
      <c r="B139" s="3"/>
      <c r="C139" s="61"/>
      <c r="D139" s="65"/>
      <c r="E139" s="72" t="s">
        <v>93</v>
      </c>
      <c r="F139" s="22">
        <v>30</v>
      </c>
      <c r="G139" s="45">
        <v>1.5</v>
      </c>
      <c r="H139" s="45"/>
      <c r="I139" s="45">
        <v>11.4</v>
      </c>
      <c r="J139" s="45">
        <v>51.6</v>
      </c>
      <c r="K139" s="23"/>
      <c r="L139" s="22">
        <f>0.03*310</f>
        <v>9.2999999999999989</v>
      </c>
    </row>
    <row r="140" spans="1:12" ht="14.4" x14ac:dyDescent="0.3">
      <c r="A140" s="9"/>
      <c r="B140" s="3"/>
      <c r="C140" s="61"/>
      <c r="D140" s="62" t="s">
        <v>30</v>
      </c>
      <c r="E140" s="72" t="s">
        <v>65</v>
      </c>
      <c r="F140" s="22">
        <v>200</v>
      </c>
      <c r="G140" s="45">
        <v>1</v>
      </c>
      <c r="H140" s="45">
        <v>0.2</v>
      </c>
      <c r="I140" s="45">
        <v>20.2</v>
      </c>
      <c r="J140" s="45">
        <v>86.6</v>
      </c>
      <c r="K140" s="23">
        <v>389</v>
      </c>
      <c r="L140" s="22">
        <v>20.3</v>
      </c>
    </row>
    <row r="141" spans="1:12" ht="15.75" customHeight="1" x14ac:dyDescent="0.3">
      <c r="A141" s="9"/>
      <c r="B141" s="3"/>
      <c r="C141" s="61"/>
      <c r="D141" s="62" t="s">
        <v>23</v>
      </c>
      <c r="E141" s="60" t="s">
        <v>43</v>
      </c>
      <c r="F141" s="30">
        <v>40</v>
      </c>
      <c r="G141" s="29">
        <f>1.52*F141/30</f>
        <v>2.0266666666666664</v>
      </c>
      <c r="H141" s="29">
        <f>0.16*F141/30</f>
        <v>0.21333333333333335</v>
      </c>
      <c r="I141" s="29">
        <f>9.84*F141/30</f>
        <v>13.120000000000001</v>
      </c>
      <c r="J141" s="29">
        <f>G141*4+H141*9+I141*4</f>
        <v>62.506666666666668</v>
      </c>
      <c r="K141" s="33" t="s">
        <v>61</v>
      </c>
      <c r="L141" s="22">
        <f>0.04*56</f>
        <v>2.2400000000000002</v>
      </c>
    </row>
    <row r="142" spans="1:12" ht="14.4" x14ac:dyDescent="0.3">
      <c r="A142" s="9"/>
      <c r="B142" s="3"/>
      <c r="C142" s="61"/>
      <c r="D142" s="62" t="s">
        <v>24</v>
      </c>
      <c r="E142" s="63" t="s">
        <v>39</v>
      </c>
      <c r="F142" s="45">
        <v>150</v>
      </c>
      <c r="G142" s="29">
        <v>0.4</v>
      </c>
      <c r="H142" s="29">
        <v>0.4</v>
      </c>
      <c r="I142" s="29">
        <v>9.8000000000000007</v>
      </c>
      <c r="J142" s="29">
        <f>G142*4+H142*9+I142*4</f>
        <v>44.400000000000006</v>
      </c>
      <c r="K142" s="34">
        <v>338</v>
      </c>
      <c r="L142" s="22">
        <v>8</v>
      </c>
    </row>
    <row r="143" spans="1:12" ht="14.4" x14ac:dyDescent="0.3">
      <c r="A143" s="9"/>
      <c r="B143" s="3"/>
      <c r="C143" s="61"/>
      <c r="D143" s="65"/>
      <c r="E143" s="22"/>
      <c r="F143" s="22"/>
      <c r="G143" s="22"/>
      <c r="H143" s="22"/>
      <c r="I143" s="22"/>
      <c r="J143" s="22"/>
      <c r="K143" s="23"/>
      <c r="L143" s="22"/>
    </row>
    <row r="144" spans="1:12" ht="14.4" x14ac:dyDescent="0.3">
      <c r="A144" s="9"/>
      <c r="B144" s="3"/>
      <c r="C144" s="61"/>
      <c r="D144" s="65"/>
      <c r="E144" s="22"/>
      <c r="F144" s="22"/>
      <c r="G144" s="22"/>
      <c r="H144" s="22"/>
      <c r="I144" s="22"/>
      <c r="J144" s="22"/>
      <c r="K144" s="23"/>
      <c r="L144" s="22"/>
    </row>
    <row r="145" spans="1:12" ht="14.4" x14ac:dyDescent="0.3">
      <c r="A145" s="10"/>
      <c r="B145" s="5"/>
      <c r="C145" s="66"/>
      <c r="D145" s="67" t="s">
        <v>33</v>
      </c>
      <c r="E145" s="6"/>
      <c r="F145" s="6">
        <f>SUM(F138:F144)</f>
        <v>620</v>
      </c>
      <c r="G145" s="6">
        <f t="shared" ref="G145:J145" si="84">SUM(G138:G144)</f>
        <v>22.844313725490196</v>
      </c>
      <c r="H145" s="6">
        <f t="shared" si="84"/>
        <v>21.378039215686275</v>
      </c>
      <c r="I145" s="6">
        <f t="shared" si="84"/>
        <v>97.708235294117642</v>
      </c>
      <c r="J145" s="6">
        <f t="shared" si="84"/>
        <v>674.61254901960785</v>
      </c>
      <c r="K145" s="11"/>
      <c r="L145" s="6">
        <f t="shared" ref="L145" si="85">SUM(L138:L144)</f>
        <v>76.339999999999989</v>
      </c>
    </row>
    <row r="146" spans="1:12" ht="14.4" x14ac:dyDescent="0.3">
      <c r="A146" s="12">
        <f>A138</f>
        <v>2</v>
      </c>
      <c r="B146" s="1">
        <f>B138</f>
        <v>3</v>
      </c>
      <c r="C146" s="68" t="s">
        <v>25</v>
      </c>
      <c r="D146" s="62" t="s">
        <v>26</v>
      </c>
      <c r="E146" s="75" t="s">
        <v>45</v>
      </c>
      <c r="F146" s="30">
        <v>100</v>
      </c>
      <c r="G146" s="45">
        <v>1.5</v>
      </c>
      <c r="H146" s="45">
        <v>5.166666666666667</v>
      </c>
      <c r="I146" s="45">
        <v>9.3333333333333339</v>
      </c>
      <c r="J146" s="45">
        <v>89.833333333333343</v>
      </c>
      <c r="K146" s="33">
        <v>56</v>
      </c>
      <c r="L146" s="45">
        <v>4.05</v>
      </c>
    </row>
    <row r="147" spans="1:12" ht="14.4" x14ac:dyDescent="0.3">
      <c r="A147" s="9"/>
      <c r="B147" s="3"/>
      <c r="C147" s="61"/>
      <c r="D147" s="62" t="s">
        <v>27</v>
      </c>
      <c r="E147" s="75" t="s">
        <v>90</v>
      </c>
      <c r="F147" s="46">
        <v>250</v>
      </c>
      <c r="G147" s="45">
        <v>3.15</v>
      </c>
      <c r="H147" s="45">
        <v>3.55</v>
      </c>
      <c r="I147" s="45">
        <v>20.837499999999999</v>
      </c>
      <c r="J147" s="45">
        <v>127.89999999999999</v>
      </c>
      <c r="K147" s="43">
        <v>108</v>
      </c>
      <c r="L147" s="45">
        <v>8.09</v>
      </c>
    </row>
    <row r="148" spans="1:12" ht="14.4" x14ac:dyDescent="0.3">
      <c r="A148" s="9"/>
      <c r="B148" s="3"/>
      <c r="C148" s="61"/>
      <c r="D148" s="62" t="s">
        <v>28</v>
      </c>
      <c r="E148" s="75" t="s">
        <v>91</v>
      </c>
      <c r="F148" s="41">
        <v>280</v>
      </c>
      <c r="G148" s="45">
        <v>19.977999999999998</v>
      </c>
      <c r="H148" s="45">
        <v>21.013999999999999</v>
      </c>
      <c r="I148" s="45">
        <v>35.713999999999999</v>
      </c>
      <c r="J148" s="45">
        <v>411.89400000000001</v>
      </c>
      <c r="K148" s="43">
        <v>259</v>
      </c>
      <c r="L148" s="45">
        <v>37.58</v>
      </c>
    </row>
    <row r="149" spans="1:12" ht="14.4" x14ac:dyDescent="0.3">
      <c r="A149" s="9"/>
      <c r="B149" s="3"/>
      <c r="C149" s="61"/>
      <c r="D149" s="62" t="s">
        <v>29</v>
      </c>
      <c r="E149" s="78"/>
      <c r="F149" s="41"/>
      <c r="G149" s="73"/>
      <c r="H149" s="73"/>
      <c r="I149" s="73"/>
      <c r="J149" s="73"/>
      <c r="K149" s="79"/>
      <c r="L149" s="45"/>
    </row>
    <row r="150" spans="1:12" ht="14.4" x14ac:dyDescent="0.3">
      <c r="A150" s="9"/>
      <c r="B150" s="3"/>
      <c r="C150" s="61"/>
      <c r="D150" s="62" t="s">
        <v>30</v>
      </c>
      <c r="E150" s="75" t="s">
        <v>80</v>
      </c>
      <c r="F150" s="41">
        <v>200</v>
      </c>
      <c r="G150" s="45">
        <v>0.1</v>
      </c>
      <c r="H150" s="45">
        <v>0.1</v>
      </c>
      <c r="I150" s="45">
        <v>15.36</v>
      </c>
      <c r="J150" s="45">
        <v>62.739999999999995</v>
      </c>
      <c r="K150" s="43">
        <v>345</v>
      </c>
      <c r="L150" s="45">
        <v>20.100000000000001</v>
      </c>
    </row>
    <row r="151" spans="1:12" ht="14.4" x14ac:dyDescent="0.3">
      <c r="A151" s="9"/>
      <c r="B151" s="3"/>
      <c r="C151" s="61"/>
      <c r="D151" s="62" t="s">
        <v>31</v>
      </c>
      <c r="E151" s="60" t="s">
        <v>43</v>
      </c>
      <c r="F151" s="41">
        <v>40</v>
      </c>
      <c r="G151" s="45">
        <v>2.64</v>
      </c>
      <c r="H151" s="45">
        <v>0.48</v>
      </c>
      <c r="I151" s="45">
        <v>13.680000000000001</v>
      </c>
      <c r="J151" s="45">
        <v>69.600000000000009</v>
      </c>
      <c r="K151" s="50" t="s">
        <v>44</v>
      </c>
      <c r="L151" s="45">
        <f>0.04*56</f>
        <v>2.2400000000000002</v>
      </c>
    </row>
    <row r="152" spans="1:12" ht="14.4" x14ac:dyDescent="0.3">
      <c r="A152" s="9"/>
      <c r="B152" s="3"/>
      <c r="C152" s="61"/>
      <c r="D152" s="62" t="s">
        <v>32</v>
      </c>
      <c r="E152" s="60" t="s">
        <v>49</v>
      </c>
      <c r="F152" s="41">
        <v>40</v>
      </c>
      <c r="G152" s="29">
        <v>2.0266666666666664</v>
      </c>
      <c r="H152" s="29">
        <v>0.21333333333333335</v>
      </c>
      <c r="I152" s="29">
        <v>13.120000000000001</v>
      </c>
      <c r="J152" s="29">
        <v>62.506666666666668</v>
      </c>
      <c r="K152" s="50" t="s">
        <v>44</v>
      </c>
      <c r="L152" s="45">
        <f>0.04*32</f>
        <v>1.28</v>
      </c>
    </row>
    <row r="153" spans="1:12" ht="14.4" x14ac:dyDescent="0.3">
      <c r="A153" s="9"/>
      <c r="B153" s="3"/>
      <c r="C153" s="61"/>
      <c r="D153" s="65"/>
      <c r="E153" s="22"/>
      <c r="F153" s="22"/>
      <c r="G153" s="22"/>
      <c r="H153" s="22"/>
      <c r="I153" s="22"/>
      <c r="J153" s="22"/>
      <c r="K153" s="23"/>
      <c r="L153" s="22"/>
    </row>
    <row r="154" spans="1:12" ht="14.4" x14ac:dyDescent="0.3">
      <c r="A154" s="9"/>
      <c r="B154" s="3"/>
      <c r="C154" s="61"/>
      <c r="D154" s="65"/>
      <c r="E154" s="22"/>
      <c r="F154" s="22"/>
      <c r="G154" s="22"/>
      <c r="H154" s="22"/>
      <c r="I154" s="22"/>
      <c r="J154" s="22"/>
      <c r="K154" s="23"/>
      <c r="L154" s="22"/>
    </row>
    <row r="155" spans="1:12" ht="14.4" x14ac:dyDescent="0.3">
      <c r="A155" s="10"/>
      <c r="B155" s="5"/>
      <c r="C155" s="66"/>
      <c r="D155" s="67" t="s">
        <v>33</v>
      </c>
      <c r="E155" s="6"/>
      <c r="F155" s="6">
        <f>SUM(F146:F154)</f>
        <v>910</v>
      </c>
      <c r="G155" s="6">
        <f t="shared" ref="G155:J155" si="86">SUM(G146:G154)</f>
        <v>29.394666666666669</v>
      </c>
      <c r="H155" s="6">
        <f t="shared" si="86"/>
        <v>30.524000000000001</v>
      </c>
      <c r="I155" s="6">
        <f t="shared" si="86"/>
        <v>108.04483333333334</v>
      </c>
      <c r="J155" s="6">
        <f t="shared" si="86"/>
        <v>824.47400000000005</v>
      </c>
      <c r="K155" s="11"/>
      <c r="L155" s="6">
        <f t="shared" ref="L155" si="87">SUM(L146:L154)</f>
        <v>73.339999999999989</v>
      </c>
    </row>
    <row r="156" spans="1:12" ht="15" thickBot="1" x14ac:dyDescent="0.3">
      <c r="A156" s="13">
        <f>A138</f>
        <v>2</v>
      </c>
      <c r="B156" s="14">
        <f>B138</f>
        <v>3</v>
      </c>
      <c r="C156" s="84" t="s">
        <v>4</v>
      </c>
      <c r="D156" s="85"/>
      <c r="E156" s="15"/>
      <c r="F156" s="15">
        <f>F145+F155</f>
        <v>1530</v>
      </c>
      <c r="G156" s="15">
        <f t="shared" ref="G156" si="88">G145+G155</f>
        <v>52.238980392156861</v>
      </c>
      <c r="H156" s="15">
        <f t="shared" ref="H156" si="89">H145+H155</f>
        <v>51.902039215686273</v>
      </c>
      <c r="I156" s="15">
        <f t="shared" ref="I156" si="90">I145+I155</f>
        <v>205.753068627451</v>
      </c>
      <c r="J156" s="15">
        <f t="shared" ref="J156:L156" si="91">J145+J155</f>
        <v>1499.0865490196079</v>
      </c>
      <c r="K156" s="15"/>
      <c r="L156" s="15">
        <f t="shared" si="91"/>
        <v>149.67999999999998</v>
      </c>
    </row>
    <row r="157" spans="1:12" ht="20.399999999999999" x14ac:dyDescent="0.3">
      <c r="A157" s="7">
        <v>2</v>
      </c>
      <c r="B157" s="8">
        <v>4</v>
      </c>
      <c r="C157" s="58" t="s">
        <v>20</v>
      </c>
      <c r="D157" s="59" t="s">
        <v>21</v>
      </c>
      <c r="E157" s="72" t="s">
        <v>94</v>
      </c>
      <c r="F157" s="46">
        <v>150</v>
      </c>
      <c r="G157" s="20">
        <v>13.49</v>
      </c>
      <c r="H157" s="20">
        <v>16.190000000000001</v>
      </c>
      <c r="I157" s="20">
        <v>17.18</v>
      </c>
      <c r="J157" s="20">
        <v>268.39</v>
      </c>
      <c r="K157" s="43">
        <v>279</v>
      </c>
      <c r="L157" s="20">
        <v>31</v>
      </c>
    </row>
    <row r="158" spans="1:12" ht="14.4" x14ac:dyDescent="0.3">
      <c r="A158" s="9"/>
      <c r="B158" s="3"/>
      <c r="C158" s="61"/>
      <c r="D158" s="65" t="s">
        <v>29</v>
      </c>
      <c r="E158" s="72" t="s">
        <v>47</v>
      </c>
      <c r="F158" s="22">
        <v>180</v>
      </c>
      <c r="G158" s="22">
        <v>6.84</v>
      </c>
      <c r="H158" s="22">
        <v>4.1159999999999997</v>
      </c>
      <c r="I158" s="22">
        <v>43.740000000000009</v>
      </c>
      <c r="J158" s="22">
        <v>239.36400000000003</v>
      </c>
      <c r="K158" s="43">
        <v>203</v>
      </c>
      <c r="L158" s="22">
        <v>6.35</v>
      </c>
    </row>
    <row r="159" spans="1:12" ht="14.4" x14ac:dyDescent="0.3">
      <c r="A159" s="9"/>
      <c r="B159" s="3"/>
      <c r="C159" s="61"/>
      <c r="D159" s="62" t="s">
        <v>22</v>
      </c>
      <c r="E159" s="72" t="s">
        <v>42</v>
      </c>
      <c r="F159" s="22">
        <v>200</v>
      </c>
      <c r="G159" s="22">
        <v>3.5</v>
      </c>
      <c r="H159" s="22">
        <v>3.7</v>
      </c>
      <c r="I159" s="22">
        <v>25.5</v>
      </c>
      <c r="J159" s="22">
        <v>149.30000000000001</v>
      </c>
      <c r="K159" s="80">
        <v>382</v>
      </c>
      <c r="L159" s="22">
        <v>13.38</v>
      </c>
    </row>
    <row r="160" spans="1:12" ht="15.75" customHeight="1" x14ac:dyDescent="0.3">
      <c r="A160" s="9"/>
      <c r="B160" s="3"/>
      <c r="C160" s="61"/>
      <c r="D160" s="62" t="s">
        <v>23</v>
      </c>
      <c r="E160" s="60" t="s">
        <v>43</v>
      </c>
      <c r="F160" s="30">
        <v>40</v>
      </c>
      <c r="G160" s="29">
        <f>1.52*F160/30</f>
        <v>2.0266666666666664</v>
      </c>
      <c r="H160" s="29">
        <f>0.16*F160/30</f>
        <v>0.21333333333333335</v>
      </c>
      <c r="I160" s="29">
        <f>9.84*F160/30</f>
        <v>13.120000000000001</v>
      </c>
      <c r="J160" s="29">
        <f>G160*4+H160*9+I160*4</f>
        <v>62.506666666666668</v>
      </c>
      <c r="K160" s="43" t="s">
        <v>61</v>
      </c>
      <c r="L160" s="22">
        <f>0.04*56</f>
        <v>2.2400000000000002</v>
      </c>
    </row>
    <row r="161" spans="1:12" ht="14.4" x14ac:dyDescent="0.3">
      <c r="A161" s="9"/>
      <c r="B161" s="3"/>
      <c r="C161" s="61"/>
      <c r="D161" s="62" t="s">
        <v>24</v>
      </c>
      <c r="E161" s="63" t="s">
        <v>39</v>
      </c>
      <c r="F161" s="45">
        <v>250</v>
      </c>
      <c r="G161" s="29">
        <v>0.4</v>
      </c>
      <c r="H161" s="29">
        <v>0.4</v>
      </c>
      <c r="I161" s="29">
        <v>9.8000000000000007</v>
      </c>
      <c r="J161" s="29">
        <f>G161*4+H161*9+I161*4</f>
        <v>44.400000000000006</v>
      </c>
      <c r="K161" s="44">
        <v>338</v>
      </c>
      <c r="L161" s="22">
        <f>65*0.25</f>
        <v>16.25</v>
      </c>
    </row>
    <row r="162" spans="1:12" ht="14.4" x14ac:dyDescent="0.3">
      <c r="A162" s="9"/>
      <c r="B162" s="3"/>
      <c r="C162" s="61"/>
      <c r="D162" s="65"/>
      <c r="E162" s="72"/>
      <c r="F162" s="22"/>
      <c r="G162" s="22"/>
      <c r="H162" s="22"/>
      <c r="I162" s="22"/>
      <c r="J162" s="22"/>
      <c r="K162" s="23"/>
      <c r="L162" s="22"/>
    </row>
    <row r="163" spans="1:12" ht="14.4" x14ac:dyDescent="0.3">
      <c r="A163" s="9"/>
      <c r="B163" s="3"/>
      <c r="C163" s="61"/>
      <c r="D163" s="65"/>
      <c r="E163" s="72"/>
      <c r="F163" s="22"/>
      <c r="G163" s="22"/>
      <c r="H163" s="22"/>
      <c r="I163" s="22"/>
      <c r="J163" s="22"/>
      <c r="K163" s="23"/>
      <c r="L163" s="22"/>
    </row>
    <row r="164" spans="1:12" ht="14.4" x14ac:dyDescent="0.3">
      <c r="A164" s="10"/>
      <c r="B164" s="5"/>
      <c r="C164" s="66"/>
      <c r="D164" s="67" t="s">
        <v>33</v>
      </c>
      <c r="E164" s="6"/>
      <c r="F164" s="6">
        <f>SUM(F157:F163)</f>
        <v>820</v>
      </c>
      <c r="G164" s="6">
        <f t="shared" ref="G164:J164" si="92">SUM(G157:G163)</f>
        <v>26.256666666666664</v>
      </c>
      <c r="H164" s="6">
        <f t="shared" si="92"/>
        <v>24.619333333333334</v>
      </c>
      <c r="I164" s="6">
        <f t="shared" si="92"/>
        <v>109.34000000000002</v>
      </c>
      <c r="J164" s="6">
        <f t="shared" si="92"/>
        <v>763.96066666666673</v>
      </c>
      <c r="K164" s="43"/>
      <c r="L164" s="6">
        <f t="shared" ref="L164" si="93">SUM(L157:L163)</f>
        <v>69.22</v>
      </c>
    </row>
    <row r="165" spans="1:12" ht="14.4" x14ac:dyDescent="0.3">
      <c r="A165" s="12">
        <f>A157</f>
        <v>2</v>
      </c>
      <c r="B165" s="1">
        <f>B157</f>
        <v>4</v>
      </c>
      <c r="C165" s="68" t="s">
        <v>25</v>
      </c>
      <c r="D165" s="62" t="s">
        <v>26</v>
      </c>
      <c r="E165" s="72" t="s">
        <v>95</v>
      </c>
      <c r="F165" s="41">
        <v>100</v>
      </c>
      <c r="G165" s="48">
        <f>2.7*F165/60</f>
        <v>4.5</v>
      </c>
      <c r="H165" s="48">
        <f>4.7*F165/60</f>
        <v>7.833333333333333</v>
      </c>
      <c r="I165" s="48">
        <f>4.31*F165/60</f>
        <v>7.1833333333333327</v>
      </c>
      <c r="J165" s="48">
        <f t="shared" ref="J165:J168" si="94">G165*4+H165*9+I165*4</f>
        <v>117.23333333333333</v>
      </c>
      <c r="K165" s="43">
        <v>88</v>
      </c>
      <c r="L165" s="22">
        <v>6.75</v>
      </c>
    </row>
    <row r="166" spans="1:12" ht="14.4" x14ac:dyDescent="0.3">
      <c r="A166" s="9"/>
      <c r="B166" s="3"/>
      <c r="C166" s="61"/>
      <c r="D166" s="62" t="s">
        <v>27</v>
      </c>
      <c r="E166" s="74" t="s">
        <v>98</v>
      </c>
      <c r="F166" s="46" t="s">
        <v>59</v>
      </c>
      <c r="G166" s="48">
        <v>2.44</v>
      </c>
      <c r="H166" s="48">
        <v>6.41</v>
      </c>
      <c r="I166" s="48">
        <v>11.11</v>
      </c>
      <c r="J166" s="48">
        <f t="shared" si="94"/>
        <v>111.89</v>
      </c>
      <c r="K166" s="44">
        <v>232</v>
      </c>
      <c r="L166" s="22">
        <v>6.7</v>
      </c>
    </row>
    <row r="167" spans="1:12" ht="14.4" x14ac:dyDescent="0.3">
      <c r="A167" s="9"/>
      <c r="B167" s="3"/>
      <c r="C167" s="61"/>
      <c r="D167" s="62" t="s">
        <v>28</v>
      </c>
      <c r="E167" s="72" t="s">
        <v>97</v>
      </c>
      <c r="F167" s="41">
        <v>100</v>
      </c>
      <c r="G167" s="48">
        <f>17.77*F167/80</f>
        <v>22.212499999999999</v>
      </c>
      <c r="H167" s="48">
        <f>9.32*F167/80</f>
        <v>11.65</v>
      </c>
      <c r="I167" s="48">
        <f>2.39*F167/80</f>
        <v>2.9874999999999998</v>
      </c>
      <c r="J167" s="48">
        <f t="shared" si="94"/>
        <v>205.64999999999998</v>
      </c>
      <c r="K167" s="44">
        <v>312</v>
      </c>
      <c r="L167" s="22">
        <v>31</v>
      </c>
    </row>
    <row r="168" spans="1:12" ht="14.4" x14ac:dyDescent="0.3">
      <c r="A168" s="9"/>
      <c r="B168" s="3"/>
      <c r="C168" s="61"/>
      <c r="D168" s="62" t="s">
        <v>29</v>
      </c>
      <c r="E168" s="72" t="s">
        <v>64</v>
      </c>
      <c r="F168" s="41">
        <v>180</v>
      </c>
      <c r="G168" s="48">
        <f>F168*3.29/150</f>
        <v>3.9480000000000004</v>
      </c>
      <c r="H168" s="48">
        <f>F168*7.06/150</f>
        <v>8.4719999999999995</v>
      </c>
      <c r="I168" s="48">
        <f>F168*22.21/150</f>
        <v>26.652000000000001</v>
      </c>
      <c r="J168" s="48">
        <f t="shared" si="94"/>
        <v>198.648</v>
      </c>
      <c r="K168" s="43">
        <v>345</v>
      </c>
      <c r="L168" s="22">
        <v>12.75</v>
      </c>
    </row>
    <row r="169" spans="1:12" ht="14.4" x14ac:dyDescent="0.3">
      <c r="A169" s="9"/>
      <c r="B169" s="3"/>
      <c r="C169" s="61"/>
      <c r="D169" s="62" t="s">
        <v>30</v>
      </c>
      <c r="E169" s="72" t="s">
        <v>96</v>
      </c>
      <c r="F169" s="41">
        <v>200</v>
      </c>
      <c r="G169" s="48">
        <v>0.06</v>
      </c>
      <c r="H169" s="46">
        <v>0.02</v>
      </c>
      <c r="I169" s="48">
        <v>20.73</v>
      </c>
      <c r="J169" s="48">
        <f>G169*4+H169*9+I169*4</f>
        <v>83.34</v>
      </c>
      <c r="K169" s="50">
        <v>389</v>
      </c>
      <c r="L169" s="22">
        <v>15.8</v>
      </c>
    </row>
    <row r="170" spans="1:12" ht="14.4" x14ac:dyDescent="0.3">
      <c r="A170" s="9"/>
      <c r="B170" s="3"/>
      <c r="C170" s="61"/>
      <c r="D170" s="62" t="s">
        <v>31</v>
      </c>
      <c r="E170" s="60" t="s">
        <v>43</v>
      </c>
      <c r="F170" s="41">
        <v>40</v>
      </c>
      <c r="G170" s="45">
        <v>2.64</v>
      </c>
      <c r="H170" s="45">
        <v>0.48</v>
      </c>
      <c r="I170" s="45">
        <v>13.680000000000001</v>
      </c>
      <c r="J170" s="45">
        <v>69.600000000000009</v>
      </c>
      <c r="K170" s="44" t="s">
        <v>44</v>
      </c>
      <c r="L170" s="45">
        <f>0.04*56</f>
        <v>2.2400000000000002</v>
      </c>
    </row>
    <row r="171" spans="1:12" ht="14.4" x14ac:dyDescent="0.3">
      <c r="A171" s="9"/>
      <c r="B171" s="3"/>
      <c r="C171" s="61"/>
      <c r="D171" s="62" t="s">
        <v>32</v>
      </c>
      <c r="E171" s="60" t="s">
        <v>49</v>
      </c>
      <c r="F171" s="41">
        <v>40</v>
      </c>
      <c r="G171" s="29">
        <v>2.0266666666666664</v>
      </c>
      <c r="H171" s="29">
        <v>0.21333333333333335</v>
      </c>
      <c r="I171" s="29">
        <v>13.120000000000001</v>
      </c>
      <c r="J171" s="29">
        <v>62.506666666666668</v>
      </c>
      <c r="K171" s="50" t="s">
        <v>44</v>
      </c>
      <c r="L171" s="45">
        <f>0.04*32</f>
        <v>1.28</v>
      </c>
    </row>
    <row r="172" spans="1:12" ht="14.4" x14ac:dyDescent="0.3">
      <c r="A172" s="9"/>
      <c r="B172" s="3"/>
      <c r="C172" s="61"/>
      <c r="D172" s="65"/>
      <c r="E172" s="22"/>
      <c r="F172" s="22"/>
      <c r="G172" s="22"/>
      <c r="H172" s="22"/>
      <c r="I172" s="22"/>
      <c r="J172" s="22"/>
      <c r="K172" s="23"/>
      <c r="L172" s="22"/>
    </row>
    <row r="173" spans="1:12" ht="14.4" x14ac:dyDescent="0.3">
      <c r="A173" s="9"/>
      <c r="B173" s="3"/>
      <c r="C173" s="61"/>
      <c r="D173" s="65"/>
      <c r="E173" s="22"/>
      <c r="F173" s="22"/>
      <c r="G173" s="22"/>
      <c r="H173" s="22"/>
      <c r="I173" s="22"/>
      <c r="J173" s="22"/>
      <c r="K173" s="23"/>
      <c r="L173" s="22"/>
    </row>
    <row r="174" spans="1:12" ht="14.4" x14ac:dyDescent="0.3">
      <c r="A174" s="10"/>
      <c r="B174" s="5"/>
      <c r="C174" s="66"/>
      <c r="D174" s="67" t="s">
        <v>33</v>
      </c>
      <c r="E174" s="6"/>
      <c r="F174" s="6">
        <f>SUM(F165:F173)</f>
        <v>660</v>
      </c>
      <c r="G174" s="6">
        <f t="shared" ref="G174:J174" si="95">SUM(G165:G173)</f>
        <v>37.827166666666663</v>
      </c>
      <c r="H174" s="6">
        <f t="shared" si="95"/>
        <v>35.078666666666663</v>
      </c>
      <c r="I174" s="6">
        <f t="shared" si="95"/>
        <v>95.46283333333335</v>
      </c>
      <c r="J174" s="6">
        <f t="shared" si="95"/>
        <v>848.86800000000005</v>
      </c>
      <c r="K174" s="11"/>
      <c r="L174" s="6">
        <f t="shared" ref="L174" si="96">SUM(L165:L173)</f>
        <v>76.52</v>
      </c>
    </row>
    <row r="175" spans="1:12" ht="15" thickBot="1" x14ac:dyDescent="0.3">
      <c r="A175" s="13">
        <f>A157</f>
        <v>2</v>
      </c>
      <c r="B175" s="14">
        <f>B157</f>
        <v>4</v>
      </c>
      <c r="C175" s="84" t="s">
        <v>4</v>
      </c>
      <c r="D175" s="85"/>
      <c r="E175" s="15"/>
      <c r="F175" s="39">
        <f>F164+F174</f>
        <v>1480</v>
      </c>
      <c r="G175" s="15">
        <f t="shared" ref="G175" si="97">G164+G174</f>
        <v>64.083833333333331</v>
      </c>
      <c r="H175" s="15">
        <f t="shared" ref="H175" si="98">H164+H174</f>
        <v>59.697999999999993</v>
      </c>
      <c r="I175" s="15">
        <f t="shared" ref="I175" si="99">I164+I174</f>
        <v>204.80283333333335</v>
      </c>
      <c r="J175" s="15">
        <f t="shared" ref="J175:L175" si="100">J164+J174</f>
        <v>1612.8286666666668</v>
      </c>
      <c r="K175" s="15"/>
      <c r="L175" s="15">
        <f t="shared" si="100"/>
        <v>145.74</v>
      </c>
    </row>
    <row r="176" spans="1:12" ht="14.4" x14ac:dyDescent="0.3">
      <c r="A176" s="7">
        <v>2</v>
      </c>
      <c r="B176" s="8">
        <v>5</v>
      </c>
      <c r="C176" s="58" t="s">
        <v>20</v>
      </c>
      <c r="D176" s="59" t="s">
        <v>21</v>
      </c>
      <c r="E176" s="72" t="s">
        <v>99</v>
      </c>
      <c r="F176" s="41">
        <v>230</v>
      </c>
      <c r="G176" s="48">
        <f>7.3*F176/200</f>
        <v>8.3949999999999996</v>
      </c>
      <c r="H176" s="48">
        <f>12.5*F176/200</f>
        <v>14.375</v>
      </c>
      <c r="I176" s="48">
        <f>54.3*F176/200</f>
        <v>62.445</v>
      </c>
      <c r="J176" s="48">
        <f>G176*4+H176*9+I176*4</f>
        <v>412.73500000000001</v>
      </c>
      <c r="K176" s="21">
        <v>173</v>
      </c>
      <c r="L176" s="20">
        <v>16</v>
      </c>
    </row>
    <row r="177" spans="1:12" ht="14.4" x14ac:dyDescent="0.3">
      <c r="A177" s="9"/>
      <c r="B177" s="3"/>
      <c r="C177" s="61"/>
      <c r="D177" s="65" t="s">
        <v>100</v>
      </c>
      <c r="E177" s="72" t="s">
        <v>101</v>
      </c>
      <c r="F177" s="75">
        <v>100</v>
      </c>
      <c r="G177" s="41">
        <v>2.4</v>
      </c>
      <c r="H177" s="22">
        <v>1.2</v>
      </c>
      <c r="I177" s="22">
        <v>14.5</v>
      </c>
      <c r="J177" s="22">
        <v>80</v>
      </c>
      <c r="K177" s="23" t="s">
        <v>61</v>
      </c>
      <c r="L177" s="22">
        <v>32</v>
      </c>
    </row>
    <row r="178" spans="1:12" ht="14.4" x14ac:dyDescent="0.3">
      <c r="A178" s="9"/>
      <c r="B178" s="3"/>
      <c r="C178" s="61"/>
      <c r="D178" s="62" t="s">
        <v>22</v>
      </c>
      <c r="E178" s="72" t="s">
        <v>73</v>
      </c>
      <c r="F178" s="41">
        <v>200</v>
      </c>
      <c r="G178" s="48">
        <v>3.17</v>
      </c>
      <c r="H178" s="48">
        <v>2.68</v>
      </c>
      <c r="I178" s="48">
        <v>15.95</v>
      </c>
      <c r="J178" s="48">
        <f>G178*4+H178*9+I178*4</f>
        <v>100.6</v>
      </c>
      <c r="K178" s="23">
        <v>379</v>
      </c>
      <c r="L178" s="22">
        <v>14.8</v>
      </c>
    </row>
    <row r="179" spans="1:12" ht="14.4" x14ac:dyDescent="0.3">
      <c r="A179" s="9"/>
      <c r="B179" s="3"/>
      <c r="C179" s="61"/>
      <c r="D179" s="62" t="s">
        <v>23</v>
      </c>
      <c r="E179" s="60" t="s">
        <v>43</v>
      </c>
      <c r="F179" s="41">
        <v>40</v>
      </c>
      <c r="G179" s="45">
        <v>2.64</v>
      </c>
      <c r="H179" s="45">
        <v>0.48</v>
      </c>
      <c r="I179" s="45">
        <v>13.680000000000001</v>
      </c>
      <c r="J179" s="49">
        <f>G179*4+H179*9+I179*4</f>
        <v>69.600000000000009</v>
      </c>
      <c r="K179" s="23" t="s">
        <v>61</v>
      </c>
      <c r="L179" s="22">
        <v>2.2400000000000002</v>
      </c>
    </row>
    <row r="180" spans="1:12" ht="14.4" x14ac:dyDescent="0.3">
      <c r="A180" s="9"/>
      <c r="B180" s="3"/>
      <c r="C180" s="61"/>
      <c r="D180" s="62" t="s">
        <v>24</v>
      </c>
      <c r="E180" s="63" t="s">
        <v>39</v>
      </c>
      <c r="F180" s="45">
        <v>250</v>
      </c>
      <c r="G180" s="29">
        <v>0.4</v>
      </c>
      <c r="H180" s="29">
        <v>0.4</v>
      </c>
      <c r="I180" s="29">
        <v>9.8000000000000007</v>
      </c>
      <c r="J180" s="29">
        <f>G180*4+H180*9+I180*4</f>
        <v>44.400000000000006</v>
      </c>
      <c r="K180" s="44">
        <v>338</v>
      </c>
      <c r="L180" s="22">
        <f>65*0.25</f>
        <v>16.25</v>
      </c>
    </row>
    <row r="181" spans="1:12" ht="14.4" x14ac:dyDescent="0.3">
      <c r="A181" s="9"/>
      <c r="B181" s="3"/>
      <c r="C181" s="61"/>
      <c r="D181" s="65"/>
      <c r="E181" s="22"/>
      <c r="F181" s="22"/>
      <c r="G181" s="22"/>
      <c r="H181" s="22"/>
      <c r="I181" s="22"/>
      <c r="J181" s="22"/>
      <c r="K181" s="23"/>
      <c r="L181" s="22"/>
    </row>
    <row r="182" spans="1:12" ht="14.4" x14ac:dyDescent="0.3">
      <c r="A182" s="9"/>
      <c r="B182" s="3"/>
      <c r="C182" s="61"/>
      <c r="D182" s="65"/>
      <c r="E182" s="22"/>
      <c r="F182" s="22"/>
      <c r="G182" s="22"/>
      <c r="H182" s="22"/>
      <c r="I182" s="22"/>
      <c r="J182" s="22"/>
      <c r="K182" s="23"/>
      <c r="L182" s="22"/>
    </row>
    <row r="183" spans="1:12" ht="15.75" customHeight="1" x14ac:dyDescent="0.3">
      <c r="A183" s="10"/>
      <c r="B183" s="5"/>
      <c r="C183" s="66"/>
      <c r="D183" s="67" t="s">
        <v>33</v>
      </c>
      <c r="E183" s="6"/>
      <c r="F183" s="6">
        <f>SUM(F176:F182)</f>
        <v>820</v>
      </c>
      <c r="G183" s="6">
        <f t="shared" ref="G183:J183" si="101">SUM(G176:G182)</f>
        <v>17.004999999999999</v>
      </c>
      <c r="H183" s="6">
        <f t="shared" si="101"/>
        <v>19.134999999999998</v>
      </c>
      <c r="I183" s="6">
        <f t="shared" si="101"/>
        <v>116.375</v>
      </c>
      <c r="J183" s="6">
        <f t="shared" si="101"/>
        <v>707.33500000000004</v>
      </c>
      <c r="K183" s="11"/>
      <c r="L183" s="6">
        <f t="shared" ref="L183" si="102">SUM(L176:L182)</f>
        <v>81.289999999999992</v>
      </c>
    </row>
    <row r="184" spans="1:12" ht="14.4" x14ac:dyDescent="0.3">
      <c r="A184" s="12">
        <f>A176</f>
        <v>2</v>
      </c>
      <c r="B184" s="1">
        <f>B176</f>
        <v>5</v>
      </c>
      <c r="C184" s="68" t="s">
        <v>25</v>
      </c>
      <c r="D184" s="62" t="s">
        <v>26</v>
      </c>
      <c r="E184" s="69" t="s">
        <v>56</v>
      </c>
      <c r="F184" s="30">
        <v>100</v>
      </c>
      <c r="G184" s="29">
        <f>0.3*F184/60</f>
        <v>0.5</v>
      </c>
      <c r="H184" s="29">
        <f>2*F184/60</f>
        <v>3.3333333333333335</v>
      </c>
      <c r="I184" s="29">
        <f>1.6*F184/60</f>
        <v>2.6666666666666665</v>
      </c>
      <c r="J184" s="29">
        <f t="shared" ref="J184" si="103">G184*4+H184*9+I184*4</f>
        <v>42.666666666666664</v>
      </c>
      <c r="K184" s="33">
        <v>24</v>
      </c>
      <c r="L184" s="22">
        <v>10.8</v>
      </c>
    </row>
    <row r="185" spans="1:12" ht="14.4" x14ac:dyDescent="0.3">
      <c r="A185" s="9"/>
      <c r="B185" s="3"/>
      <c r="C185" s="61"/>
      <c r="D185" s="62" t="s">
        <v>27</v>
      </c>
      <c r="E185" s="72" t="s">
        <v>103</v>
      </c>
      <c r="F185" s="41">
        <v>250</v>
      </c>
      <c r="G185" s="48">
        <f>9.9*F185/200</f>
        <v>12.375</v>
      </c>
      <c r="H185" s="48">
        <f>8.9*F185/200</f>
        <v>11.125</v>
      </c>
      <c r="I185" s="48">
        <f>25.2*F185/200</f>
        <v>31.5</v>
      </c>
      <c r="J185" s="48">
        <f t="shared" ref="J185:J187" si="104">G185*4+H185*9+I185*4</f>
        <v>275.625</v>
      </c>
      <c r="K185" s="41">
        <v>103</v>
      </c>
      <c r="L185" s="22">
        <v>7.8</v>
      </c>
    </row>
    <row r="186" spans="1:12" ht="14.4" x14ac:dyDescent="0.3">
      <c r="A186" s="9"/>
      <c r="B186" s="3"/>
      <c r="C186" s="61"/>
      <c r="D186" s="62" t="s">
        <v>28</v>
      </c>
      <c r="E186" s="75" t="s">
        <v>82</v>
      </c>
      <c r="F186" s="46">
        <v>100</v>
      </c>
      <c r="G186" s="45">
        <v>15.24</v>
      </c>
      <c r="H186" s="45">
        <v>5.8</v>
      </c>
      <c r="I186" s="45">
        <v>10.16</v>
      </c>
      <c r="J186" s="45">
        <v>153.80000000000001</v>
      </c>
      <c r="K186" s="43">
        <v>295</v>
      </c>
      <c r="L186" s="22">
        <v>53</v>
      </c>
    </row>
    <row r="187" spans="1:12" ht="14.4" x14ac:dyDescent="0.3">
      <c r="A187" s="9"/>
      <c r="B187" s="3"/>
      <c r="C187" s="61"/>
      <c r="D187" s="62" t="s">
        <v>29</v>
      </c>
      <c r="E187" s="72" t="s">
        <v>102</v>
      </c>
      <c r="F187" s="41">
        <v>180</v>
      </c>
      <c r="G187" s="48">
        <f>6.57*F187/150</f>
        <v>7.8840000000000012</v>
      </c>
      <c r="H187" s="48">
        <f>4.19*F187/150</f>
        <v>5.0280000000000005</v>
      </c>
      <c r="I187" s="48">
        <f>32.32*F187/150</f>
        <v>38.783999999999999</v>
      </c>
      <c r="J187" s="48">
        <f t="shared" si="104"/>
        <v>231.92400000000001</v>
      </c>
      <c r="K187" s="41">
        <v>171</v>
      </c>
      <c r="L187" s="22">
        <v>6.28</v>
      </c>
    </row>
    <row r="188" spans="1:12" ht="14.4" x14ac:dyDescent="0.3">
      <c r="A188" s="9"/>
      <c r="B188" s="3"/>
      <c r="C188" s="61"/>
      <c r="D188" s="62" t="s">
        <v>30</v>
      </c>
      <c r="E188" s="72" t="s">
        <v>65</v>
      </c>
      <c r="F188" s="41">
        <v>200</v>
      </c>
      <c r="G188" s="48">
        <v>1</v>
      </c>
      <c r="H188" s="48">
        <v>0.2</v>
      </c>
      <c r="I188" s="48">
        <v>20.2</v>
      </c>
      <c r="J188" s="48">
        <f>G188*4+H188*9+I188*4</f>
        <v>86.6</v>
      </c>
      <c r="K188" s="41">
        <v>389</v>
      </c>
      <c r="L188" s="22">
        <f>87*0.2</f>
        <v>17.400000000000002</v>
      </c>
    </row>
    <row r="189" spans="1:12" ht="14.4" x14ac:dyDescent="0.3">
      <c r="A189" s="2"/>
      <c r="B189" s="3"/>
      <c r="C189" s="61"/>
      <c r="D189" s="62" t="s">
        <v>31</v>
      </c>
      <c r="E189" s="60" t="s">
        <v>43</v>
      </c>
      <c r="F189" s="30">
        <v>40</v>
      </c>
      <c r="G189" s="29">
        <f>1.52*F189/30</f>
        <v>2.0266666666666664</v>
      </c>
      <c r="H189" s="31">
        <f>0.16*F189/30</f>
        <v>0.21333333333333335</v>
      </c>
      <c r="I189" s="31">
        <f>9.84*F189/30</f>
        <v>13.120000000000001</v>
      </c>
      <c r="J189" s="31">
        <f>G189*4+H189*9+I189*4</f>
        <v>62.506666666666668</v>
      </c>
      <c r="K189" s="33" t="s">
        <v>61</v>
      </c>
      <c r="L189" s="22">
        <f>0.04*56</f>
        <v>2.2400000000000002</v>
      </c>
    </row>
    <row r="190" spans="1:12" ht="14.4" x14ac:dyDescent="0.3">
      <c r="A190" s="2"/>
      <c r="B190" s="3"/>
      <c r="C190" s="61"/>
      <c r="D190" s="62" t="s">
        <v>32</v>
      </c>
      <c r="E190" s="60" t="s">
        <v>49</v>
      </c>
      <c r="F190" s="30">
        <v>40</v>
      </c>
      <c r="G190" s="29">
        <f>2.64*F190/40</f>
        <v>2.64</v>
      </c>
      <c r="H190" s="29">
        <f>0.48*F190/40</f>
        <v>0.48</v>
      </c>
      <c r="I190" s="29">
        <f>13.68*F190/40</f>
        <v>13.680000000000001</v>
      </c>
      <c r="J190" s="29">
        <f t="shared" ref="J190" si="105">G190*4+H190*9+I190*4</f>
        <v>69.600000000000009</v>
      </c>
      <c r="K190" s="33" t="s">
        <v>44</v>
      </c>
      <c r="L190" s="22">
        <f>0.04*32</f>
        <v>1.28</v>
      </c>
    </row>
    <row r="191" spans="1:12" ht="14.4" x14ac:dyDescent="0.3">
      <c r="A191" s="9"/>
      <c r="B191" s="3"/>
      <c r="C191" s="61"/>
      <c r="D191" s="65"/>
      <c r="E191" s="22"/>
      <c r="F191" s="22"/>
      <c r="G191" s="22"/>
      <c r="H191" s="22"/>
      <c r="I191" s="22"/>
      <c r="J191" s="22"/>
      <c r="K191" s="23"/>
      <c r="L191" s="22"/>
    </row>
    <row r="192" spans="1:12" ht="14.4" x14ac:dyDescent="0.3">
      <c r="A192" s="9"/>
      <c r="B192" s="3"/>
      <c r="C192" s="61"/>
      <c r="D192" s="65"/>
      <c r="E192" s="22"/>
      <c r="F192" s="22"/>
      <c r="G192" s="22"/>
      <c r="H192" s="22"/>
      <c r="I192" s="22"/>
      <c r="J192" s="22"/>
      <c r="K192" s="23"/>
      <c r="L192" s="22"/>
    </row>
    <row r="193" spans="1:12" ht="14.4" x14ac:dyDescent="0.3">
      <c r="A193" s="10"/>
      <c r="B193" s="5"/>
      <c r="C193" s="66"/>
      <c r="D193" s="67" t="s">
        <v>33</v>
      </c>
      <c r="E193" s="6"/>
      <c r="F193" s="6">
        <f>SUM(F184:F192)</f>
        <v>910</v>
      </c>
      <c r="G193" s="6">
        <f t="shared" ref="G193:J193" si="106">SUM(G184:G192)</f>
        <v>41.665666666666667</v>
      </c>
      <c r="H193" s="6">
        <f t="shared" si="106"/>
        <v>26.179666666666666</v>
      </c>
      <c r="I193" s="6">
        <f t="shared" si="106"/>
        <v>130.11066666666667</v>
      </c>
      <c r="J193" s="6">
        <f t="shared" si="106"/>
        <v>922.72233333333338</v>
      </c>
      <c r="K193" s="11"/>
      <c r="L193" s="6">
        <f t="shared" ref="L193" si="107">SUM(L184:L192)</f>
        <v>98.8</v>
      </c>
    </row>
    <row r="194" spans="1:12" ht="15" thickBot="1" x14ac:dyDescent="0.3">
      <c r="A194" s="13">
        <f>A176</f>
        <v>2</v>
      </c>
      <c r="B194" s="14">
        <f>B176</f>
        <v>5</v>
      </c>
      <c r="C194" s="84" t="s">
        <v>4</v>
      </c>
      <c r="D194" s="85"/>
      <c r="E194" s="15"/>
      <c r="F194" s="15">
        <f>F183+F193</f>
        <v>1730</v>
      </c>
      <c r="G194" s="15">
        <f t="shared" ref="G194" si="108">G183+G193</f>
        <v>58.670666666666662</v>
      </c>
      <c r="H194" s="15">
        <f t="shared" ref="H194" si="109">H183+H193</f>
        <v>45.314666666666668</v>
      </c>
      <c r="I194" s="15">
        <f t="shared" ref="I194" si="110">I183+I193</f>
        <v>246.48566666666667</v>
      </c>
      <c r="J194" s="15">
        <f t="shared" ref="J194:L194" si="111">J183+J193</f>
        <v>1630.0573333333334</v>
      </c>
      <c r="K194" s="15"/>
      <c r="L194" s="15">
        <f t="shared" si="111"/>
        <v>180.08999999999997</v>
      </c>
    </row>
    <row r="195" spans="1:12" ht="13.8" thickBot="1" x14ac:dyDescent="0.3">
      <c r="A195" s="77"/>
      <c r="B195" s="17"/>
      <c r="C195" s="86" t="s">
        <v>5</v>
      </c>
      <c r="D195" s="86"/>
      <c r="E195" s="86"/>
      <c r="F195" s="17">
        <f>(F23+F42+F61+F80+F99+F118+F137+F156+F175+F194)/(IF(F23=0,0,1)+IF(F42=0,0,1)+IF(F61=0,0,1)+IF(F80=0,0,1)+IF(F99=0,0,1)+IF(F118=0,0,1)+IF(F137=0,0,1)+IF(F156=0,0,1)+IF(F175=0,0,1)+IF(F194=0,0,1))</f>
        <v>1348</v>
      </c>
      <c r="G195" s="17">
        <f t="shared" ref="G195:J195" si="112">(G23+G42+G61+G80+G99+G118+G137+G156+G175+G194)/(IF(G23=0,0,1)+IF(G42=0,0,1)+IF(G61=0,0,1)+IF(G80=0,0,1)+IF(G99=0,0,1)+IF(G118=0,0,1)+IF(G137=0,0,1)+IF(G156=0,0,1)+IF(G175=0,0,1)+IF(G194=0,0,1))</f>
        <v>60.219158823529405</v>
      </c>
      <c r="H195" s="17">
        <f t="shared" si="112"/>
        <v>57.843718627450968</v>
      </c>
      <c r="I195" s="17">
        <f t="shared" si="112"/>
        <v>193.74691568627455</v>
      </c>
      <c r="J195" s="17">
        <f t="shared" si="112"/>
        <v>1536.6177656862749</v>
      </c>
      <c r="K195" s="17"/>
      <c r="L195" s="17">
        <f t="shared" ref="L195" si="113">(L23+L42+L61+L80+L99+L118+L137+L156+L175+L194)/(IF(L23=0,0,1)+IF(L42=0,0,1)+IF(L61=0,0,1)+IF(L80=0,0,1)+IF(L99=0,0,1)+IF(L118=0,0,1)+IF(L137=0,0,1)+IF(L156=0,0,1)+IF(L175=0,0,1)+IF(L194=0,0,1))</f>
        <v>141.3355</v>
      </c>
    </row>
  </sheetData>
  <mergeCells count="15"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A2:F2"/>
    <mergeCell ref="C1:E1"/>
    <mergeCell ref="H1:K1"/>
    <mergeCell ref="H2:K2"/>
    <mergeCell ref="C42:D4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Админ-ПК-МБОУ</cp:lastModifiedBy>
  <cp:lastPrinted>2025-01-29T07:46:41Z</cp:lastPrinted>
  <dcterms:created xsi:type="dcterms:W3CDTF">2022-05-16T14:23:56Z</dcterms:created>
  <dcterms:modified xsi:type="dcterms:W3CDTF">2025-01-31T12:12:04Z</dcterms:modified>
</cp:coreProperties>
</file>